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ablo\OneDrive\Escritorio\SEPTIEMBRE 25 DE 2024 EXTR\PUNTO 4 3RA. MODIFICACION PRESUPUESTAL 2024\"/>
    </mc:Choice>
  </mc:AlternateContent>
  <bookViews>
    <workbookView xWindow="-120" yWindow="-120" windowWidth="20730" windowHeight="11160"/>
  </bookViews>
  <sheets>
    <sheet name="2daModPlantill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382" i="1" l="1"/>
  <c r="AX382" i="1"/>
  <c r="AW382" i="1"/>
  <c r="AV382" i="1"/>
  <c r="AS382" i="1"/>
  <c r="AR382" i="1"/>
  <c r="AY242" i="1"/>
  <c r="AX242" i="1"/>
  <c r="AW242" i="1"/>
  <c r="AV242" i="1"/>
  <c r="AS242" i="1"/>
  <c r="AR242" i="1"/>
  <c r="H169" i="1" l="1"/>
  <c r="BK935" i="1"/>
  <c r="AM923" i="1"/>
  <c r="AM925" i="1" s="1"/>
  <c r="AF923" i="1"/>
  <c r="AE923" i="1"/>
  <c r="AD923" i="1"/>
  <c r="AC923" i="1"/>
  <c r="Z923" i="1"/>
  <c r="Y923" i="1"/>
  <c r="W923" i="1"/>
  <c r="M923" i="1"/>
  <c r="K923" i="1"/>
  <c r="J923" i="1"/>
  <c r="I923" i="1"/>
  <c r="E923" i="1"/>
  <c r="E925" i="1" s="1"/>
  <c r="AY922" i="1"/>
  <c r="AX922" i="1"/>
  <c r="AW922" i="1"/>
  <c r="AV922" i="1"/>
  <c r="AS922" i="1"/>
  <c r="AR922" i="1"/>
  <c r="N922" i="1"/>
  <c r="O922" i="1" s="1"/>
  <c r="H922" i="1"/>
  <c r="AY921" i="1"/>
  <c r="AX921" i="1"/>
  <c r="AW921" i="1"/>
  <c r="AV921" i="1"/>
  <c r="AS921" i="1"/>
  <c r="AR921" i="1"/>
  <c r="N921" i="1"/>
  <c r="O921" i="1" s="1"/>
  <c r="V921" i="1" s="1"/>
  <c r="H921" i="1"/>
  <c r="AY920" i="1"/>
  <c r="AX920" i="1"/>
  <c r="AW920" i="1"/>
  <c r="AV920" i="1"/>
  <c r="AS920" i="1"/>
  <c r="AR920" i="1"/>
  <c r="N920" i="1"/>
  <c r="O920" i="1" s="1"/>
  <c r="H920" i="1"/>
  <c r="AY919" i="1"/>
  <c r="AX919" i="1"/>
  <c r="AW919" i="1"/>
  <c r="AV919" i="1"/>
  <c r="AS919" i="1"/>
  <c r="AR919" i="1"/>
  <c r="N919" i="1"/>
  <c r="O919" i="1" s="1"/>
  <c r="K919" i="1"/>
  <c r="L919" i="1" s="1"/>
  <c r="L923" i="1" s="1"/>
  <c r="H919" i="1"/>
  <c r="AY918" i="1"/>
  <c r="AX918" i="1"/>
  <c r="AW918" i="1"/>
  <c r="AV918" i="1"/>
  <c r="AS918" i="1"/>
  <c r="AR918" i="1"/>
  <c r="N918" i="1"/>
  <c r="H918" i="1"/>
  <c r="AY917" i="1"/>
  <c r="AX917" i="1"/>
  <c r="AW917" i="1"/>
  <c r="AV917" i="1"/>
  <c r="AS917" i="1"/>
  <c r="AR917" i="1"/>
  <c r="O917" i="1"/>
  <c r="N917" i="1"/>
  <c r="H917" i="1"/>
  <c r="AR916" i="1"/>
  <c r="AF916" i="1"/>
  <c r="AE916" i="1"/>
  <c r="AE924" i="1" s="1"/>
  <c r="AD916" i="1"/>
  <c r="AD924" i="1" s="1"/>
  <c r="AC916" i="1"/>
  <c r="AC924" i="1" s="1"/>
  <c r="Z916" i="1"/>
  <c r="Y916" i="1"/>
  <c r="Y924" i="1" s="1"/>
  <c r="W916" i="1"/>
  <c r="W924" i="1" s="1"/>
  <c r="M916" i="1"/>
  <c r="J916" i="1"/>
  <c r="I916" i="1"/>
  <c r="I924" i="1" s="1"/>
  <c r="AY915" i="1"/>
  <c r="AX915" i="1"/>
  <c r="AW915" i="1"/>
  <c r="AV915" i="1"/>
  <c r="AS915" i="1"/>
  <c r="AR915" i="1"/>
  <c r="O915" i="1"/>
  <c r="N915" i="1"/>
  <c r="K915" i="1"/>
  <c r="H915" i="1"/>
  <c r="AY914" i="1"/>
  <c r="AX914" i="1"/>
  <c r="AW914" i="1"/>
  <c r="AV914" i="1"/>
  <c r="AS914" i="1"/>
  <c r="AR914" i="1"/>
  <c r="N914" i="1"/>
  <c r="H914" i="1"/>
  <c r="AM906" i="1"/>
  <c r="E906" i="1"/>
  <c r="AF904" i="1"/>
  <c r="AE904" i="1"/>
  <c r="AD904" i="1"/>
  <c r="AC904" i="1"/>
  <c r="Z904" i="1"/>
  <c r="Y904" i="1"/>
  <c r="W904" i="1"/>
  <c r="M904" i="1"/>
  <c r="J904" i="1"/>
  <c r="I904" i="1"/>
  <c r="AY903" i="1"/>
  <c r="AX903" i="1"/>
  <c r="AW903" i="1"/>
  <c r="AV903" i="1"/>
  <c r="AS903" i="1"/>
  <c r="AR903" i="1"/>
  <c r="U903" i="1"/>
  <c r="N903" i="1"/>
  <c r="O903" i="1" s="1"/>
  <c r="V903" i="1" s="1"/>
  <c r="H903" i="1"/>
  <c r="AY902" i="1"/>
  <c r="AX902" i="1"/>
  <c r="AW902" i="1"/>
  <c r="AV902" i="1"/>
  <c r="AS902" i="1"/>
  <c r="AR902" i="1"/>
  <c r="N902" i="1"/>
  <c r="O902" i="1" s="1"/>
  <c r="H902" i="1"/>
  <c r="AY901" i="1"/>
  <c r="AX901" i="1"/>
  <c r="AW901" i="1"/>
  <c r="AV901" i="1"/>
  <c r="AS901" i="1"/>
  <c r="AR901" i="1"/>
  <c r="N901" i="1"/>
  <c r="O901" i="1" s="1"/>
  <c r="K901" i="1"/>
  <c r="L901" i="1" s="1"/>
  <c r="H901" i="1"/>
  <c r="AY900" i="1"/>
  <c r="AX900" i="1"/>
  <c r="AW900" i="1"/>
  <c r="AV900" i="1"/>
  <c r="AS900" i="1"/>
  <c r="AR900" i="1"/>
  <c r="U900" i="1"/>
  <c r="P900" i="1"/>
  <c r="Q900" i="1" s="1"/>
  <c r="AO900" i="1" s="1"/>
  <c r="N900" i="1"/>
  <c r="O900" i="1" s="1"/>
  <c r="V900" i="1" s="1"/>
  <c r="L900" i="1"/>
  <c r="K900" i="1"/>
  <c r="H900" i="1"/>
  <c r="AY899" i="1"/>
  <c r="AX899" i="1"/>
  <c r="AW899" i="1"/>
  <c r="AW904" i="1" s="1"/>
  <c r="AV899" i="1"/>
  <c r="AS899" i="1"/>
  <c r="AR899" i="1"/>
  <c r="AR904" i="1" s="1"/>
  <c r="N899" i="1"/>
  <c r="O899" i="1" s="1"/>
  <c r="H899" i="1"/>
  <c r="AF898" i="1"/>
  <c r="AE898" i="1"/>
  <c r="AD898" i="1"/>
  <c r="AC898" i="1"/>
  <c r="Z898" i="1"/>
  <c r="Y898" i="1"/>
  <c r="Y905" i="1" s="1"/>
  <c r="W898" i="1"/>
  <c r="M898" i="1"/>
  <c r="J898" i="1"/>
  <c r="I898" i="1"/>
  <c r="I905" i="1" s="1"/>
  <c r="AY897" i="1"/>
  <c r="AX897" i="1"/>
  <c r="AW897" i="1"/>
  <c r="AV897" i="1"/>
  <c r="AS897" i="1"/>
  <c r="AR897" i="1"/>
  <c r="N897" i="1"/>
  <c r="O897" i="1" s="1"/>
  <c r="H897" i="1"/>
  <c r="AY896" i="1"/>
  <c r="AX896" i="1"/>
  <c r="AW896" i="1"/>
  <c r="AV896" i="1"/>
  <c r="AS896" i="1"/>
  <c r="AR896" i="1"/>
  <c r="N896" i="1"/>
  <c r="O896" i="1" s="1"/>
  <c r="K896" i="1"/>
  <c r="H896" i="1"/>
  <c r="AY895" i="1"/>
  <c r="AX895" i="1"/>
  <c r="AW895" i="1"/>
  <c r="AV895" i="1"/>
  <c r="AS895" i="1"/>
  <c r="AR895" i="1"/>
  <c r="N895" i="1"/>
  <c r="O895" i="1" s="1"/>
  <c r="U895" i="1" s="1"/>
  <c r="H895" i="1"/>
  <c r="AM889" i="1"/>
  <c r="E889" i="1"/>
  <c r="AF888" i="1"/>
  <c r="M888" i="1"/>
  <c r="AF887" i="1"/>
  <c r="AE887" i="1"/>
  <c r="AE888" i="1" s="1"/>
  <c r="AD887" i="1"/>
  <c r="AD888" i="1" s="1"/>
  <c r="AC887" i="1"/>
  <c r="AC888" i="1" s="1"/>
  <c r="Z887" i="1"/>
  <c r="Z888" i="1" s="1"/>
  <c r="Y887" i="1"/>
  <c r="Y888" i="1" s="1"/>
  <c r="W887" i="1"/>
  <c r="W888" i="1" s="1"/>
  <c r="M887" i="1"/>
  <c r="L887" i="1"/>
  <c r="L888" i="1" s="1"/>
  <c r="K887" i="1"/>
  <c r="K888" i="1" s="1"/>
  <c r="J887" i="1"/>
  <c r="J888" i="1" s="1"/>
  <c r="I887" i="1"/>
  <c r="I888" i="1" s="1"/>
  <c r="AY886" i="1"/>
  <c r="AX886" i="1"/>
  <c r="AW886" i="1"/>
  <c r="AV886" i="1"/>
  <c r="AS886" i="1"/>
  <c r="AR886" i="1"/>
  <c r="U886" i="1"/>
  <c r="N886" i="1"/>
  <c r="O886" i="1" s="1"/>
  <c r="H886" i="1"/>
  <c r="AY885" i="1"/>
  <c r="AX885" i="1"/>
  <c r="AW885" i="1"/>
  <c r="AV885" i="1"/>
  <c r="AS885" i="1"/>
  <c r="AR885" i="1"/>
  <c r="N885" i="1"/>
  <c r="O885" i="1" s="1"/>
  <c r="V885" i="1" s="1"/>
  <c r="H885" i="1"/>
  <c r="AY884" i="1"/>
  <c r="AX884" i="1"/>
  <c r="AW884" i="1"/>
  <c r="AV884" i="1"/>
  <c r="AS884" i="1"/>
  <c r="AR884" i="1"/>
  <c r="N884" i="1"/>
  <c r="O884" i="1" s="1"/>
  <c r="H884" i="1"/>
  <c r="AY883" i="1"/>
  <c r="AX883" i="1"/>
  <c r="AW883" i="1"/>
  <c r="AV883" i="1"/>
  <c r="AS883" i="1"/>
  <c r="AR883" i="1"/>
  <c r="V883" i="1"/>
  <c r="P883" i="1"/>
  <c r="O883" i="1"/>
  <c r="U883" i="1" s="1"/>
  <c r="N883" i="1"/>
  <c r="H883" i="1"/>
  <c r="AY882" i="1"/>
  <c r="AX882" i="1"/>
  <c r="AW882" i="1"/>
  <c r="AV882" i="1"/>
  <c r="AS882" i="1"/>
  <c r="AR882" i="1"/>
  <c r="N882" i="1"/>
  <c r="O882" i="1" s="1"/>
  <c r="V882" i="1" s="1"/>
  <c r="H882" i="1"/>
  <c r="AY881" i="1"/>
  <c r="AX881" i="1"/>
  <c r="AW881" i="1"/>
  <c r="AV881" i="1"/>
  <c r="AS881" i="1"/>
  <c r="AR881" i="1"/>
  <c r="N881" i="1"/>
  <c r="O881" i="1" s="1"/>
  <c r="H881" i="1"/>
  <c r="AY880" i="1"/>
  <c r="AX880" i="1"/>
  <c r="AW880" i="1"/>
  <c r="AV880" i="1"/>
  <c r="AS880" i="1"/>
  <c r="AR880" i="1"/>
  <c r="N880" i="1"/>
  <c r="O880" i="1" s="1"/>
  <c r="U880" i="1" s="1"/>
  <c r="H880" i="1"/>
  <c r="AY879" i="1"/>
  <c r="AX879" i="1"/>
  <c r="AW879" i="1"/>
  <c r="AV879" i="1"/>
  <c r="AS879" i="1"/>
  <c r="AR879" i="1"/>
  <c r="N879" i="1"/>
  <c r="O879" i="1" s="1"/>
  <c r="H879" i="1"/>
  <c r="AY878" i="1"/>
  <c r="AX878" i="1"/>
  <c r="AW878" i="1"/>
  <c r="AV878" i="1"/>
  <c r="AS878" i="1"/>
  <c r="AR878" i="1"/>
  <c r="O878" i="1"/>
  <c r="P878" i="1" s="1"/>
  <c r="N878" i="1"/>
  <c r="H878" i="1"/>
  <c r="AY877" i="1"/>
  <c r="AX877" i="1"/>
  <c r="AW877" i="1"/>
  <c r="AV877" i="1"/>
  <c r="AS877" i="1"/>
  <c r="AR877" i="1"/>
  <c r="N877" i="1"/>
  <c r="O877" i="1" s="1"/>
  <c r="H877" i="1"/>
  <c r="AY876" i="1"/>
  <c r="AX876" i="1"/>
  <c r="AW876" i="1"/>
  <c r="AV876" i="1"/>
  <c r="AS876" i="1"/>
  <c r="AR876" i="1"/>
  <c r="O876" i="1"/>
  <c r="P876" i="1" s="1"/>
  <c r="N876" i="1"/>
  <c r="H876" i="1"/>
  <c r="AY875" i="1"/>
  <c r="AX875" i="1"/>
  <c r="AW875" i="1"/>
  <c r="AV875" i="1"/>
  <c r="AS875" i="1"/>
  <c r="AR875" i="1"/>
  <c r="N875" i="1"/>
  <c r="O875" i="1" s="1"/>
  <c r="H875" i="1"/>
  <c r="AY874" i="1"/>
  <c r="AX874" i="1"/>
  <c r="AW874" i="1"/>
  <c r="AV874" i="1"/>
  <c r="AS874" i="1"/>
  <c r="AR874" i="1"/>
  <c r="N874" i="1"/>
  <c r="O874" i="1" s="1"/>
  <c r="H874" i="1"/>
  <c r="AY873" i="1"/>
  <c r="AX873" i="1"/>
  <c r="AW873" i="1"/>
  <c r="AV873" i="1"/>
  <c r="AS873" i="1"/>
  <c r="AR873" i="1"/>
  <c r="U873" i="1"/>
  <c r="N873" i="1"/>
  <c r="O873" i="1" s="1"/>
  <c r="H873" i="1"/>
  <c r="AY872" i="1"/>
  <c r="AX872" i="1"/>
  <c r="AW872" i="1"/>
  <c r="AV872" i="1"/>
  <c r="AS872" i="1"/>
  <c r="AR872" i="1"/>
  <c r="U872" i="1"/>
  <c r="S872" i="1"/>
  <c r="N872" i="1"/>
  <c r="O872" i="1" s="1"/>
  <c r="P872" i="1" s="1"/>
  <c r="H872" i="1"/>
  <c r="AY871" i="1"/>
  <c r="AX871" i="1"/>
  <c r="AW871" i="1"/>
  <c r="AV871" i="1"/>
  <c r="AS871" i="1"/>
  <c r="AR871" i="1"/>
  <c r="N871" i="1"/>
  <c r="O871" i="1" s="1"/>
  <c r="AY870" i="1"/>
  <c r="AX870" i="1"/>
  <c r="AW870" i="1"/>
  <c r="AV870" i="1"/>
  <c r="AS870" i="1"/>
  <c r="AR870" i="1"/>
  <c r="N870" i="1"/>
  <c r="H870" i="1"/>
  <c r="AM865" i="1"/>
  <c r="E865" i="1"/>
  <c r="AX863" i="1"/>
  <c r="AF863" i="1"/>
  <c r="AE863" i="1"/>
  <c r="AD863" i="1"/>
  <c r="AC863" i="1"/>
  <c r="Z863" i="1"/>
  <c r="Y863" i="1"/>
  <c r="W863" i="1"/>
  <c r="M863" i="1"/>
  <c r="L863" i="1"/>
  <c r="K863" i="1"/>
  <c r="J863" i="1"/>
  <c r="I863" i="1"/>
  <c r="AY862" i="1"/>
  <c r="AY863" i="1" s="1"/>
  <c r="AX862" i="1"/>
  <c r="AW862" i="1"/>
  <c r="AW863" i="1" s="1"/>
  <c r="AV862" i="1"/>
  <c r="AV863" i="1" s="1"/>
  <c r="AS862" i="1"/>
  <c r="AS863" i="1" s="1"/>
  <c r="AR862" i="1"/>
  <c r="AR863" i="1" s="1"/>
  <c r="N862" i="1"/>
  <c r="H862" i="1"/>
  <c r="AF861" i="1"/>
  <c r="AE861" i="1"/>
  <c r="AE864" i="1" s="1"/>
  <c r="AD861" i="1"/>
  <c r="AC861" i="1"/>
  <c r="Z861" i="1"/>
  <c r="Y861" i="1"/>
  <c r="W861" i="1"/>
  <c r="M861" i="1"/>
  <c r="L861" i="1"/>
  <c r="L864" i="1" s="1"/>
  <c r="K861" i="1"/>
  <c r="K864" i="1" s="1"/>
  <c r="J861" i="1"/>
  <c r="I861" i="1"/>
  <c r="AY860" i="1"/>
  <c r="AX860" i="1"/>
  <c r="AW860" i="1"/>
  <c r="AV860" i="1"/>
  <c r="AS860" i="1"/>
  <c r="AR860" i="1"/>
  <c r="N860" i="1"/>
  <c r="O860" i="1" s="1"/>
  <c r="H860" i="1"/>
  <c r="AY859" i="1"/>
  <c r="AX859" i="1"/>
  <c r="AW859" i="1"/>
  <c r="AV859" i="1"/>
  <c r="AS859" i="1"/>
  <c r="AR859" i="1"/>
  <c r="O859" i="1"/>
  <c r="N859" i="1"/>
  <c r="H859" i="1"/>
  <c r="AY858" i="1"/>
  <c r="AX858" i="1"/>
  <c r="AW858" i="1"/>
  <c r="AV858" i="1"/>
  <c r="AS858" i="1"/>
  <c r="AR858" i="1"/>
  <c r="O858" i="1"/>
  <c r="N858" i="1"/>
  <c r="H858" i="1"/>
  <c r="AY857" i="1"/>
  <c r="AX857" i="1"/>
  <c r="AW857" i="1"/>
  <c r="AV857" i="1"/>
  <c r="AS857" i="1"/>
  <c r="AR857" i="1"/>
  <c r="N857" i="1"/>
  <c r="O857" i="1" s="1"/>
  <c r="AY856" i="1"/>
  <c r="AX856" i="1"/>
  <c r="AW856" i="1"/>
  <c r="AV856" i="1"/>
  <c r="AS856" i="1"/>
  <c r="AR856" i="1"/>
  <c r="N856" i="1"/>
  <c r="O856" i="1" s="1"/>
  <c r="AY855" i="1"/>
  <c r="AX855" i="1"/>
  <c r="AW855" i="1"/>
  <c r="AV855" i="1"/>
  <c r="AS855" i="1"/>
  <c r="AR855" i="1"/>
  <c r="V855" i="1"/>
  <c r="P855" i="1"/>
  <c r="O855" i="1"/>
  <c r="U855" i="1" s="1"/>
  <c r="N855" i="1"/>
  <c r="AY854" i="1"/>
  <c r="AX854" i="1"/>
  <c r="AW854" i="1"/>
  <c r="AV854" i="1"/>
  <c r="AS854" i="1"/>
  <c r="AR854" i="1"/>
  <c r="P854" i="1"/>
  <c r="R854" i="1" s="1"/>
  <c r="AP854" i="1" s="1"/>
  <c r="N854" i="1"/>
  <c r="O854" i="1" s="1"/>
  <c r="V854" i="1" s="1"/>
  <c r="H854" i="1"/>
  <c r="AY853" i="1"/>
  <c r="AX853" i="1"/>
  <c r="AW853" i="1"/>
  <c r="AV853" i="1"/>
  <c r="AS853" i="1"/>
  <c r="AR853" i="1"/>
  <c r="N853" i="1"/>
  <c r="O853" i="1" s="1"/>
  <c r="V853" i="1" s="1"/>
  <c r="H853" i="1"/>
  <c r="AY852" i="1"/>
  <c r="AX852" i="1"/>
  <c r="AW852" i="1"/>
  <c r="AV852" i="1"/>
  <c r="AS852" i="1"/>
  <c r="AR852" i="1"/>
  <c r="N852" i="1"/>
  <c r="O852" i="1" s="1"/>
  <c r="H852" i="1"/>
  <c r="AY851" i="1"/>
  <c r="AX851" i="1"/>
  <c r="AW851" i="1"/>
  <c r="AV851" i="1"/>
  <c r="AS851" i="1"/>
  <c r="AR851" i="1"/>
  <c r="O851" i="1"/>
  <c r="N851" i="1"/>
  <c r="H851" i="1"/>
  <c r="AY850" i="1"/>
  <c r="AX850" i="1"/>
  <c r="AW850" i="1"/>
  <c r="AV850" i="1"/>
  <c r="AS850" i="1"/>
  <c r="AR850" i="1"/>
  <c r="U850" i="1"/>
  <c r="N850" i="1"/>
  <c r="O850" i="1" s="1"/>
  <c r="H850" i="1"/>
  <c r="AY849" i="1"/>
  <c r="AX849" i="1"/>
  <c r="AW849" i="1"/>
  <c r="AV849" i="1"/>
  <c r="AS849" i="1"/>
  <c r="AR849" i="1"/>
  <c r="N849" i="1"/>
  <c r="O849" i="1" s="1"/>
  <c r="H849" i="1"/>
  <c r="AY848" i="1"/>
  <c r="AX848" i="1"/>
  <c r="AW848" i="1"/>
  <c r="AV848" i="1"/>
  <c r="AS848" i="1"/>
  <c r="AR848" i="1"/>
  <c r="N848" i="1"/>
  <c r="O848" i="1" s="1"/>
  <c r="V848" i="1" s="1"/>
  <c r="H848" i="1"/>
  <c r="AY847" i="1"/>
  <c r="AX847" i="1"/>
  <c r="AW847" i="1"/>
  <c r="AV847" i="1"/>
  <c r="AS847" i="1"/>
  <c r="AR847" i="1"/>
  <c r="N847" i="1"/>
  <c r="O847" i="1" s="1"/>
  <c r="P847" i="1" s="1"/>
  <c r="S847" i="1" s="1"/>
  <c r="H847" i="1"/>
  <c r="AY846" i="1"/>
  <c r="AX846" i="1"/>
  <c r="AW846" i="1"/>
  <c r="AV846" i="1"/>
  <c r="AS846" i="1"/>
  <c r="AR846" i="1"/>
  <c r="N846" i="1"/>
  <c r="O846" i="1" s="1"/>
  <c r="AY845" i="1"/>
  <c r="AX845" i="1"/>
  <c r="AW845" i="1"/>
  <c r="AV845" i="1"/>
  <c r="AS845" i="1"/>
  <c r="AR845" i="1"/>
  <c r="N845" i="1"/>
  <c r="O845" i="1" s="1"/>
  <c r="P845" i="1" s="1"/>
  <c r="S845" i="1" s="1"/>
  <c r="H845" i="1"/>
  <c r="AY844" i="1"/>
  <c r="AX844" i="1"/>
  <c r="AW844" i="1"/>
  <c r="AV844" i="1"/>
  <c r="AS844" i="1"/>
  <c r="AR844" i="1"/>
  <c r="P844" i="1"/>
  <c r="O844" i="1"/>
  <c r="V844" i="1" s="1"/>
  <c r="N844" i="1"/>
  <c r="H844" i="1"/>
  <c r="AY843" i="1"/>
  <c r="AX843" i="1"/>
  <c r="AW843" i="1"/>
  <c r="AV843" i="1"/>
  <c r="AS843" i="1"/>
  <c r="AR843" i="1"/>
  <c r="N843" i="1"/>
  <c r="O843" i="1" s="1"/>
  <c r="H843" i="1"/>
  <c r="AY842" i="1"/>
  <c r="AX842" i="1"/>
  <c r="AW842" i="1"/>
  <c r="AV842" i="1"/>
  <c r="AS842" i="1"/>
  <c r="AR842" i="1"/>
  <c r="N842" i="1"/>
  <c r="O842" i="1" s="1"/>
  <c r="H842" i="1"/>
  <c r="AY841" i="1"/>
  <c r="AX841" i="1"/>
  <c r="AW841" i="1"/>
  <c r="AV841" i="1"/>
  <c r="AS841" i="1"/>
  <c r="AR841" i="1"/>
  <c r="U841" i="1"/>
  <c r="N841" i="1"/>
  <c r="O841" i="1" s="1"/>
  <c r="H841" i="1"/>
  <c r="AY840" i="1"/>
  <c r="AX840" i="1"/>
  <c r="AW840" i="1"/>
  <c r="AV840" i="1"/>
  <c r="AS840" i="1"/>
  <c r="AR840" i="1"/>
  <c r="N840" i="1"/>
  <c r="O840" i="1" s="1"/>
  <c r="P840" i="1" s="1"/>
  <c r="X840" i="1" s="1"/>
  <c r="AQ840" i="1" s="1"/>
  <c r="H840" i="1"/>
  <c r="AY839" i="1"/>
  <c r="AX839" i="1"/>
  <c r="AW839" i="1"/>
  <c r="AV839" i="1"/>
  <c r="AS839" i="1"/>
  <c r="AR839" i="1"/>
  <c r="N839" i="1"/>
  <c r="O839" i="1" s="1"/>
  <c r="V839" i="1" s="1"/>
  <c r="H839" i="1"/>
  <c r="AY838" i="1"/>
  <c r="AX838" i="1"/>
  <c r="AW838" i="1"/>
  <c r="AV838" i="1"/>
  <c r="AS838" i="1"/>
  <c r="AR838" i="1"/>
  <c r="N838" i="1"/>
  <c r="O838" i="1" s="1"/>
  <c r="H838" i="1"/>
  <c r="AY837" i="1"/>
  <c r="AX837" i="1"/>
  <c r="AW837" i="1"/>
  <c r="AV837" i="1"/>
  <c r="AS837" i="1"/>
  <c r="AR837" i="1"/>
  <c r="N837" i="1"/>
  <c r="O837" i="1" s="1"/>
  <c r="H837" i="1"/>
  <c r="AY836" i="1"/>
  <c r="AX836" i="1"/>
  <c r="AW836" i="1"/>
  <c r="AV836" i="1"/>
  <c r="AS836" i="1"/>
  <c r="AR836" i="1"/>
  <c r="N836" i="1"/>
  <c r="O836" i="1" s="1"/>
  <c r="P836" i="1" s="1"/>
  <c r="H836" i="1"/>
  <c r="AY835" i="1"/>
  <c r="AX835" i="1"/>
  <c r="AW835" i="1"/>
  <c r="AV835" i="1"/>
  <c r="AS835" i="1"/>
  <c r="AR835" i="1"/>
  <c r="N835" i="1"/>
  <c r="O835" i="1" s="1"/>
  <c r="H835" i="1"/>
  <c r="AY834" i="1"/>
  <c r="AX834" i="1"/>
  <c r="AW834" i="1"/>
  <c r="AV834" i="1"/>
  <c r="AS834" i="1"/>
  <c r="AR834" i="1"/>
  <c r="N834" i="1"/>
  <c r="O834" i="1" s="1"/>
  <c r="P834" i="1" s="1"/>
  <c r="H834" i="1"/>
  <c r="AY833" i="1"/>
  <c r="AX833" i="1"/>
  <c r="AW833" i="1"/>
  <c r="AV833" i="1"/>
  <c r="AS833" i="1"/>
  <c r="AR833" i="1"/>
  <c r="U833" i="1"/>
  <c r="P833" i="1"/>
  <c r="N833" i="1"/>
  <c r="O833" i="1" s="1"/>
  <c r="V833" i="1" s="1"/>
  <c r="H833" i="1"/>
  <c r="AY832" i="1"/>
  <c r="AX832" i="1"/>
  <c r="AW832" i="1"/>
  <c r="AV832" i="1"/>
  <c r="AS832" i="1"/>
  <c r="AR832" i="1"/>
  <c r="N832" i="1"/>
  <c r="O832" i="1" s="1"/>
  <c r="H832" i="1"/>
  <c r="AY831" i="1"/>
  <c r="AX831" i="1"/>
  <c r="AW831" i="1"/>
  <c r="AV831" i="1"/>
  <c r="AS831" i="1"/>
  <c r="AR831" i="1"/>
  <c r="N831" i="1"/>
  <c r="O831" i="1" s="1"/>
  <c r="H831" i="1"/>
  <c r="AY830" i="1"/>
  <c r="AX830" i="1"/>
  <c r="AW830" i="1"/>
  <c r="AV830" i="1"/>
  <c r="AS830" i="1"/>
  <c r="AR830" i="1"/>
  <c r="N830" i="1"/>
  <c r="O830" i="1" s="1"/>
  <c r="H830" i="1"/>
  <c r="AY829" i="1"/>
  <c r="AX829" i="1"/>
  <c r="AW829" i="1"/>
  <c r="AV829" i="1"/>
  <c r="AS829" i="1"/>
  <c r="AR829" i="1"/>
  <c r="N829" i="1"/>
  <c r="O829" i="1" s="1"/>
  <c r="H829" i="1"/>
  <c r="AY828" i="1"/>
  <c r="AX828" i="1"/>
  <c r="AW828" i="1"/>
  <c r="AV828" i="1"/>
  <c r="AS828" i="1"/>
  <c r="AR828" i="1"/>
  <c r="N828" i="1"/>
  <c r="O828" i="1" s="1"/>
  <c r="U828" i="1" s="1"/>
  <c r="H828" i="1"/>
  <c r="AY827" i="1"/>
  <c r="AX827" i="1"/>
  <c r="AW827" i="1"/>
  <c r="AV827" i="1"/>
  <c r="AS827" i="1"/>
  <c r="AR827" i="1"/>
  <c r="N827" i="1"/>
  <c r="O827" i="1" s="1"/>
  <c r="V827" i="1" s="1"/>
  <c r="H827" i="1"/>
  <c r="AY826" i="1"/>
  <c r="AX826" i="1"/>
  <c r="AW826" i="1"/>
  <c r="AV826" i="1"/>
  <c r="AS826" i="1"/>
  <c r="AR826" i="1"/>
  <c r="U826" i="1"/>
  <c r="P826" i="1"/>
  <c r="N826" i="1"/>
  <c r="O826" i="1" s="1"/>
  <c r="V826" i="1" s="1"/>
  <c r="AY825" i="1"/>
  <c r="AX825" i="1"/>
  <c r="AW825" i="1"/>
  <c r="AV825" i="1"/>
  <c r="AS825" i="1"/>
  <c r="AR825" i="1"/>
  <c r="N825" i="1"/>
  <c r="O825" i="1" s="1"/>
  <c r="V825" i="1" s="1"/>
  <c r="H825" i="1"/>
  <c r="AY824" i="1"/>
  <c r="AX824" i="1"/>
  <c r="AW824" i="1"/>
  <c r="AV824" i="1"/>
  <c r="AS824" i="1"/>
  <c r="AR824" i="1"/>
  <c r="O824" i="1"/>
  <c r="N824" i="1"/>
  <c r="H824" i="1"/>
  <c r="AY823" i="1"/>
  <c r="AX823" i="1"/>
  <c r="AW823" i="1"/>
  <c r="AV823" i="1"/>
  <c r="AS823" i="1"/>
  <c r="AR823" i="1"/>
  <c r="N823" i="1"/>
  <c r="O823" i="1" s="1"/>
  <c r="H823" i="1"/>
  <c r="AY822" i="1"/>
  <c r="AX822" i="1"/>
  <c r="AW822" i="1"/>
  <c r="AV822" i="1"/>
  <c r="AS822" i="1"/>
  <c r="AR822" i="1"/>
  <c r="N822" i="1"/>
  <c r="O822" i="1" s="1"/>
  <c r="V822" i="1" s="1"/>
  <c r="H822" i="1"/>
  <c r="AY821" i="1"/>
  <c r="AX821" i="1"/>
  <c r="AW821" i="1"/>
  <c r="AV821" i="1"/>
  <c r="AS821" i="1"/>
  <c r="AR821" i="1"/>
  <c r="N821" i="1"/>
  <c r="O821" i="1" s="1"/>
  <c r="H821" i="1"/>
  <c r="AY820" i="1"/>
  <c r="AX820" i="1"/>
  <c r="AW820" i="1"/>
  <c r="AV820" i="1"/>
  <c r="AS820" i="1"/>
  <c r="AR820" i="1"/>
  <c r="N820" i="1"/>
  <c r="O820" i="1" s="1"/>
  <c r="P820" i="1" s="1"/>
  <c r="H820" i="1"/>
  <c r="AY819" i="1"/>
  <c r="AX819" i="1"/>
  <c r="AW819" i="1"/>
  <c r="AV819" i="1"/>
  <c r="AS819" i="1"/>
  <c r="AR819" i="1"/>
  <c r="N819" i="1"/>
  <c r="H819" i="1"/>
  <c r="AM813" i="1"/>
  <c r="E813" i="1"/>
  <c r="AE812" i="1"/>
  <c r="AF810" i="1"/>
  <c r="AF812" i="1" s="1"/>
  <c r="AE810" i="1"/>
  <c r="AD810" i="1"/>
  <c r="AD812" i="1" s="1"/>
  <c r="AC810" i="1"/>
  <c r="AC812" i="1" s="1"/>
  <c r="Z810" i="1"/>
  <c r="Z812" i="1" s="1"/>
  <c r="Y810" i="1"/>
  <c r="Y812" i="1" s="1"/>
  <c r="W810" i="1"/>
  <c r="W812" i="1" s="1"/>
  <c r="M810" i="1"/>
  <c r="L810" i="1"/>
  <c r="K810" i="1"/>
  <c r="J810" i="1"/>
  <c r="I810" i="1"/>
  <c r="H810" i="1"/>
  <c r="AY809" i="1"/>
  <c r="AX809" i="1"/>
  <c r="AW809" i="1"/>
  <c r="AV809" i="1"/>
  <c r="AS809" i="1"/>
  <c r="AR809" i="1"/>
  <c r="N809" i="1"/>
  <c r="O809" i="1" s="1"/>
  <c r="H809" i="1"/>
  <c r="AY808" i="1"/>
  <c r="AX808" i="1"/>
  <c r="AW808" i="1"/>
  <c r="AV808" i="1"/>
  <c r="AS808" i="1"/>
  <c r="AR808" i="1"/>
  <c r="N808" i="1"/>
  <c r="O808" i="1" s="1"/>
  <c r="H808" i="1"/>
  <c r="AY807" i="1"/>
  <c r="AX807" i="1"/>
  <c r="AW807" i="1"/>
  <c r="AV807" i="1"/>
  <c r="AS807" i="1"/>
  <c r="AR807" i="1"/>
  <c r="N807" i="1"/>
  <c r="O807" i="1" s="1"/>
  <c r="H807" i="1"/>
  <c r="AY806" i="1"/>
  <c r="AX806" i="1"/>
  <c r="AW806" i="1"/>
  <c r="AV806" i="1"/>
  <c r="AS806" i="1"/>
  <c r="AR806" i="1"/>
  <c r="N806" i="1"/>
  <c r="O806" i="1" s="1"/>
  <c r="AY805" i="1"/>
  <c r="AX805" i="1"/>
  <c r="AW805" i="1"/>
  <c r="AV805" i="1"/>
  <c r="AS805" i="1"/>
  <c r="AR805" i="1"/>
  <c r="N805" i="1"/>
  <c r="O805" i="1" s="1"/>
  <c r="U805" i="1" s="1"/>
  <c r="AY804" i="1"/>
  <c r="AX804" i="1"/>
  <c r="AW804" i="1"/>
  <c r="AV804" i="1"/>
  <c r="AS804" i="1"/>
  <c r="AR804" i="1"/>
  <c r="N804" i="1"/>
  <c r="O804" i="1" s="1"/>
  <c r="U804" i="1" s="1"/>
  <c r="AY803" i="1"/>
  <c r="AX803" i="1"/>
  <c r="AW803" i="1"/>
  <c r="AV803" i="1"/>
  <c r="AS803" i="1"/>
  <c r="AR803" i="1"/>
  <c r="N803" i="1"/>
  <c r="O803" i="1" s="1"/>
  <c r="AY802" i="1"/>
  <c r="AX802" i="1"/>
  <c r="AW802" i="1"/>
  <c r="AV802" i="1"/>
  <c r="AS802" i="1"/>
  <c r="AR802" i="1"/>
  <c r="N802" i="1"/>
  <c r="O802" i="1" s="1"/>
  <c r="AY801" i="1"/>
  <c r="AX801" i="1"/>
  <c r="AW801" i="1"/>
  <c r="AV801" i="1"/>
  <c r="AS801" i="1"/>
  <c r="AR801" i="1"/>
  <c r="N801" i="1"/>
  <c r="O801" i="1" s="1"/>
  <c r="P801" i="1" s="1"/>
  <c r="AY800" i="1"/>
  <c r="AX800" i="1"/>
  <c r="AW800" i="1"/>
  <c r="AV800" i="1"/>
  <c r="AS800" i="1"/>
  <c r="AR800" i="1"/>
  <c r="N800" i="1"/>
  <c r="O800" i="1" s="1"/>
  <c r="V800" i="1" s="1"/>
  <c r="AY799" i="1"/>
  <c r="AX799" i="1"/>
  <c r="AW799" i="1"/>
  <c r="AV799" i="1"/>
  <c r="AS799" i="1"/>
  <c r="AR799" i="1"/>
  <c r="N799" i="1"/>
  <c r="O799" i="1" s="1"/>
  <c r="V799" i="1" s="1"/>
  <c r="AY798" i="1"/>
  <c r="AX798" i="1"/>
  <c r="AW798" i="1"/>
  <c r="AV798" i="1"/>
  <c r="AS798" i="1"/>
  <c r="AR798" i="1"/>
  <c r="N798" i="1"/>
  <c r="O798" i="1" s="1"/>
  <c r="V798" i="1" s="1"/>
  <c r="AY797" i="1"/>
  <c r="AX797" i="1"/>
  <c r="AW797" i="1"/>
  <c r="AV797" i="1"/>
  <c r="AS797" i="1"/>
  <c r="AR797" i="1"/>
  <c r="N797" i="1"/>
  <c r="O797" i="1" s="1"/>
  <c r="AY796" i="1"/>
  <c r="AX796" i="1"/>
  <c r="AW796" i="1"/>
  <c r="AV796" i="1"/>
  <c r="AS796" i="1"/>
  <c r="AR796" i="1"/>
  <c r="N796" i="1"/>
  <c r="O796" i="1" s="1"/>
  <c r="U796" i="1" s="1"/>
  <c r="AY795" i="1"/>
  <c r="AX795" i="1"/>
  <c r="AW795" i="1"/>
  <c r="AV795" i="1"/>
  <c r="AS795" i="1"/>
  <c r="AR795" i="1"/>
  <c r="N795" i="1"/>
  <c r="O795" i="1" s="1"/>
  <c r="AY794" i="1"/>
  <c r="AX794" i="1"/>
  <c r="AW794" i="1"/>
  <c r="AV794" i="1"/>
  <c r="AS794" i="1"/>
  <c r="AR794" i="1"/>
  <c r="N794" i="1"/>
  <c r="O794" i="1" s="1"/>
  <c r="U794" i="1" s="1"/>
  <c r="AY793" i="1"/>
  <c r="AX793" i="1"/>
  <c r="AW793" i="1"/>
  <c r="AV793" i="1"/>
  <c r="AS793" i="1"/>
  <c r="AR793" i="1"/>
  <c r="N793" i="1"/>
  <c r="O793" i="1" s="1"/>
  <c r="P793" i="1" s="1"/>
  <c r="X793" i="1" s="1"/>
  <c r="AQ793" i="1" s="1"/>
  <c r="AY792" i="1"/>
  <c r="AX792" i="1"/>
  <c r="AW792" i="1"/>
  <c r="AV792" i="1"/>
  <c r="AS792" i="1"/>
  <c r="AR792" i="1"/>
  <c r="N792" i="1"/>
  <c r="O792" i="1" s="1"/>
  <c r="P792" i="1" s="1"/>
  <c r="AY791" i="1"/>
  <c r="AX791" i="1"/>
  <c r="AW791" i="1"/>
  <c r="AV791" i="1"/>
  <c r="AS791" i="1"/>
  <c r="AR791" i="1"/>
  <c r="N791" i="1"/>
  <c r="O791" i="1" s="1"/>
  <c r="P791" i="1" s="1"/>
  <c r="AY790" i="1"/>
  <c r="AX790" i="1"/>
  <c r="AW790" i="1"/>
  <c r="AV790" i="1"/>
  <c r="AS790" i="1"/>
  <c r="AR790" i="1"/>
  <c r="N790" i="1"/>
  <c r="O790" i="1" s="1"/>
  <c r="AY789" i="1"/>
  <c r="AX789" i="1"/>
  <c r="AW789" i="1"/>
  <c r="AV789" i="1"/>
  <c r="AS789" i="1"/>
  <c r="AR789" i="1"/>
  <c r="N789" i="1"/>
  <c r="O789" i="1" s="1"/>
  <c r="P789" i="1" s="1"/>
  <c r="Q789" i="1" s="1"/>
  <c r="AO789" i="1" s="1"/>
  <c r="AY788" i="1"/>
  <c r="AX788" i="1"/>
  <c r="AW788" i="1"/>
  <c r="AV788" i="1"/>
  <c r="AS788" i="1"/>
  <c r="AR788" i="1"/>
  <c r="N788" i="1"/>
  <c r="O788" i="1" s="1"/>
  <c r="AY787" i="1"/>
  <c r="AX787" i="1"/>
  <c r="AW787" i="1"/>
  <c r="AV787" i="1"/>
  <c r="AS787" i="1"/>
  <c r="AR787" i="1"/>
  <c r="N787" i="1"/>
  <c r="O787" i="1" s="1"/>
  <c r="AY786" i="1"/>
  <c r="AX786" i="1"/>
  <c r="AW786" i="1"/>
  <c r="AV786" i="1"/>
  <c r="AS786" i="1"/>
  <c r="AR786" i="1"/>
  <c r="N786" i="1"/>
  <c r="O786" i="1" s="1"/>
  <c r="V786" i="1" s="1"/>
  <c r="AY785" i="1"/>
  <c r="AX785" i="1"/>
  <c r="AW785" i="1"/>
  <c r="AV785" i="1"/>
  <c r="AS785" i="1"/>
  <c r="AR785" i="1"/>
  <c r="N785" i="1"/>
  <c r="O785" i="1" s="1"/>
  <c r="AY784" i="1"/>
  <c r="AX784" i="1"/>
  <c r="AW784" i="1"/>
  <c r="AV784" i="1"/>
  <c r="AS784" i="1"/>
  <c r="AR784" i="1"/>
  <c r="O784" i="1"/>
  <c r="N784" i="1"/>
  <c r="AY783" i="1"/>
  <c r="AX783" i="1"/>
  <c r="AW783" i="1"/>
  <c r="AV783" i="1"/>
  <c r="AS783" i="1"/>
  <c r="AR783" i="1"/>
  <c r="U783" i="1"/>
  <c r="N783" i="1"/>
  <c r="O783" i="1" s="1"/>
  <c r="AY782" i="1"/>
  <c r="AX782" i="1"/>
  <c r="AW782" i="1"/>
  <c r="AV782" i="1"/>
  <c r="AS782" i="1"/>
  <c r="AR782" i="1"/>
  <c r="V782" i="1"/>
  <c r="P782" i="1"/>
  <c r="S782" i="1" s="1"/>
  <c r="N782" i="1"/>
  <c r="O782" i="1" s="1"/>
  <c r="U782" i="1" s="1"/>
  <c r="AY781" i="1"/>
  <c r="AX781" i="1"/>
  <c r="AW781" i="1"/>
  <c r="AV781" i="1"/>
  <c r="AS781" i="1"/>
  <c r="AR781" i="1"/>
  <c r="O781" i="1"/>
  <c r="N781" i="1"/>
  <c r="AY780" i="1"/>
  <c r="AX780" i="1"/>
  <c r="AW780" i="1"/>
  <c r="AV780" i="1"/>
  <c r="AS780" i="1"/>
  <c r="AR780" i="1"/>
  <c r="N780" i="1"/>
  <c r="O780" i="1" s="1"/>
  <c r="U780" i="1" s="1"/>
  <c r="H780" i="1"/>
  <c r="AY779" i="1"/>
  <c r="AX779" i="1"/>
  <c r="AW779" i="1"/>
  <c r="AV779" i="1"/>
  <c r="AS779" i="1"/>
  <c r="AR779" i="1"/>
  <c r="N779" i="1"/>
  <c r="O779" i="1" s="1"/>
  <c r="U779" i="1" s="1"/>
  <c r="H779" i="1"/>
  <c r="AY778" i="1"/>
  <c r="AX778" i="1"/>
  <c r="AW778" i="1"/>
  <c r="AV778" i="1"/>
  <c r="AS778" i="1"/>
  <c r="AR778" i="1"/>
  <c r="O778" i="1"/>
  <c r="N778" i="1"/>
  <c r="H778" i="1"/>
  <c r="AY777" i="1"/>
  <c r="AX777" i="1"/>
  <c r="AW777" i="1"/>
  <c r="AV777" i="1"/>
  <c r="AS777" i="1"/>
  <c r="AR777" i="1"/>
  <c r="N777" i="1"/>
  <c r="O777" i="1" s="1"/>
  <c r="V777" i="1" s="1"/>
  <c r="H777" i="1"/>
  <c r="AY776" i="1"/>
  <c r="AX776" i="1"/>
  <c r="AW776" i="1"/>
  <c r="AV776" i="1"/>
  <c r="AS776" i="1"/>
  <c r="AR776" i="1"/>
  <c r="N776" i="1"/>
  <c r="O776" i="1" s="1"/>
  <c r="U776" i="1" s="1"/>
  <c r="H776" i="1"/>
  <c r="AY775" i="1"/>
  <c r="AX775" i="1"/>
  <c r="AW775" i="1"/>
  <c r="AV775" i="1"/>
  <c r="AS775" i="1"/>
  <c r="AR775" i="1"/>
  <c r="V775" i="1"/>
  <c r="N775" i="1"/>
  <c r="O775" i="1" s="1"/>
  <c r="H775" i="1"/>
  <c r="AY774" i="1"/>
  <c r="AX774" i="1"/>
  <c r="AW774" i="1"/>
  <c r="AV774" i="1"/>
  <c r="AS774" i="1"/>
  <c r="AR774" i="1"/>
  <c r="N774" i="1"/>
  <c r="O774" i="1" s="1"/>
  <c r="P774" i="1" s="1"/>
  <c r="X774" i="1" s="1"/>
  <c r="AQ774" i="1" s="1"/>
  <c r="H774" i="1"/>
  <c r="AY773" i="1"/>
  <c r="AX773" i="1"/>
  <c r="AW773" i="1"/>
  <c r="AV773" i="1"/>
  <c r="AS773" i="1"/>
  <c r="AR773" i="1"/>
  <c r="N773" i="1"/>
  <c r="O773" i="1" s="1"/>
  <c r="H773" i="1"/>
  <c r="AY772" i="1"/>
  <c r="AX772" i="1"/>
  <c r="AW772" i="1"/>
  <c r="AV772" i="1"/>
  <c r="AS772" i="1"/>
  <c r="AR772" i="1"/>
  <c r="N772" i="1"/>
  <c r="O772" i="1" s="1"/>
  <c r="H772" i="1"/>
  <c r="AY771" i="1"/>
  <c r="AX771" i="1"/>
  <c r="AW771" i="1"/>
  <c r="AV771" i="1"/>
  <c r="AS771" i="1"/>
  <c r="AR771" i="1"/>
  <c r="N771" i="1"/>
  <c r="O771" i="1" s="1"/>
  <c r="V771" i="1" s="1"/>
  <c r="H771" i="1"/>
  <c r="AY770" i="1"/>
  <c r="AX770" i="1"/>
  <c r="AW770" i="1"/>
  <c r="AV770" i="1"/>
  <c r="AS770" i="1"/>
  <c r="AR770" i="1"/>
  <c r="N770" i="1"/>
  <c r="O770" i="1" s="1"/>
  <c r="P770" i="1" s="1"/>
  <c r="H770" i="1"/>
  <c r="AY769" i="1"/>
  <c r="AX769" i="1"/>
  <c r="AW769" i="1"/>
  <c r="AV769" i="1"/>
  <c r="AS769" i="1"/>
  <c r="AR769" i="1"/>
  <c r="V769" i="1"/>
  <c r="N769" i="1"/>
  <c r="O769" i="1" s="1"/>
  <c r="U769" i="1" s="1"/>
  <c r="H769" i="1"/>
  <c r="AY768" i="1"/>
  <c r="AX768" i="1"/>
  <c r="AW768" i="1"/>
  <c r="AV768" i="1"/>
  <c r="AS768" i="1"/>
  <c r="AR768" i="1"/>
  <c r="N768" i="1"/>
  <c r="O768" i="1" s="1"/>
  <c r="H768" i="1"/>
  <c r="AY767" i="1"/>
  <c r="AX767" i="1"/>
  <c r="AW767" i="1"/>
  <c r="AV767" i="1"/>
  <c r="AS767" i="1"/>
  <c r="AR767" i="1"/>
  <c r="O767" i="1"/>
  <c r="V767" i="1" s="1"/>
  <c r="N767" i="1"/>
  <c r="H767" i="1"/>
  <c r="AY766" i="1"/>
  <c r="AX766" i="1"/>
  <c r="AW766" i="1"/>
  <c r="AV766" i="1"/>
  <c r="AS766" i="1"/>
  <c r="AR766" i="1"/>
  <c r="N766" i="1"/>
  <c r="O766" i="1" s="1"/>
  <c r="H766" i="1"/>
  <c r="AY765" i="1"/>
  <c r="AX765" i="1"/>
  <c r="AW765" i="1"/>
  <c r="AV765" i="1"/>
  <c r="AS765" i="1"/>
  <c r="AR765" i="1"/>
  <c r="N765" i="1"/>
  <c r="O765" i="1" s="1"/>
  <c r="H765" i="1"/>
  <c r="AY764" i="1"/>
  <c r="AX764" i="1"/>
  <c r="AW764" i="1"/>
  <c r="AV764" i="1"/>
  <c r="AS764" i="1"/>
  <c r="AR764" i="1"/>
  <c r="O764" i="1"/>
  <c r="V764" i="1" s="1"/>
  <c r="N764" i="1"/>
  <c r="H764" i="1"/>
  <c r="AY763" i="1"/>
  <c r="AX763" i="1"/>
  <c r="AW763" i="1"/>
  <c r="AV763" i="1"/>
  <c r="AS763" i="1"/>
  <c r="AR763" i="1"/>
  <c r="N763" i="1"/>
  <c r="O763" i="1" s="1"/>
  <c r="H763" i="1"/>
  <c r="AY762" i="1"/>
  <c r="AX762" i="1"/>
  <c r="AW762" i="1"/>
  <c r="AV762" i="1"/>
  <c r="AS762" i="1"/>
  <c r="AR762" i="1"/>
  <c r="N762" i="1"/>
  <c r="O762" i="1" s="1"/>
  <c r="P762" i="1" s="1"/>
  <c r="H762" i="1"/>
  <c r="AY761" i="1"/>
  <c r="AX761" i="1"/>
  <c r="AW761" i="1"/>
  <c r="AV761" i="1"/>
  <c r="AS761" i="1"/>
  <c r="AR761" i="1"/>
  <c r="N761" i="1"/>
  <c r="O761" i="1" s="1"/>
  <c r="H761" i="1"/>
  <c r="AY760" i="1"/>
  <c r="AX760" i="1"/>
  <c r="AW760" i="1"/>
  <c r="AV760" i="1"/>
  <c r="AS760" i="1"/>
  <c r="AR760" i="1"/>
  <c r="N760" i="1"/>
  <c r="O760" i="1" s="1"/>
  <c r="H760" i="1"/>
  <c r="AY759" i="1"/>
  <c r="AX759" i="1"/>
  <c r="AW759" i="1"/>
  <c r="AV759" i="1"/>
  <c r="AS759" i="1"/>
  <c r="AR759" i="1"/>
  <c r="N759" i="1"/>
  <c r="O759" i="1" s="1"/>
  <c r="H759" i="1"/>
  <c r="AY758" i="1"/>
  <c r="AX758" i="1"/>
  <c r="AW758" i="1"/>
  <c r="AV758" i="1"/>
  <c r="AS758" i="1"/>
  <c r="AR758" i="1"/>
  <c r="U758" i="1"/>
  <c r="P758" i="1"/>
  <c r="R758" i="1" s="1"/>
  <c r="AP758" i="1" s="1"/>
  <c r="N758" i="1"/>
  <c r="O758" i="1" s="1"/>
  <c r="V758" i="1" s="1"/>
  <c r="H758" i="1"/>
  <c r="AY757" i="1"/>
  <c r="AX757" i="1"/>
  <c r="AW757" i="1"/>
  <c r="AV757" i="1"/>
  <c r="AS757" i="1"/>
  <c r="AR757" i="1"/>
  <c r="N757" i="1"/>
  <c r="O757" i="1" s="1"/>
  <c r="U757" i="1" s="1"/>
  <c r="H757" i="1"/>
  <c r="AY756" i="1"/>
  <c r="AX756" i="1"/>
  <c r="AW756" i="1"/>
  <c r="AV756" i="1"/>
  <c r="AS756" i="1"/>
  <c r="AR756" i="1"/>
  <c r="N756" i="1"/>
  <c r="O756" i="1" s="1"/>
  <c r="V756" i="1" s="1"/>
  <c r="H756" i="1"/>
  <c r="AY755" i="1"/>
  <c r="AX755" i="1"/>
  <c r="AW755" i="1"/>
  <c r="AV755" i="1"/>
  <c r="AS755" i="1"/>
  <c r="AR755" i="1"/>
  <c r="P755" i="1"/>
  <c r="Q755" i="1" s="1"/>
  <c r="AO755" i="1" s="1"/>
  <c r="N755" i="1"/>
  <c r="O755" i="1" s="1"/>
  <c r="H755" i="1"/>
  <c r="AY754" i="1"/>
  <c r="AX754" i="1"/>
  <c r="AW754" i="1"/>
  <c r="AV754" i="1"/>
  <c r="AS754" i="1"/>
  <c r="AR754" i="1"/>
  <c r="O754" i="1"/>
  <c r="N754" i="1"/>
  <c r="H754" i="1"/>
  <c r="AY753" i="1"/>
  <c r="AX753" i="1"/>
  <c r="AW753" i="1"/>
  <c r="AV753" i="1"/>
  <c r="AS753" i="1"/>
  <c r="AR753" i="1"/>
  <c r="O753" i="1"/>
  <c r="N753" i="1"/>
  <c r="H753" i="1"/>
  <c r="AY752" i="1"/>
  <c r="AX752" i="1"/>
  <c r="AW752" i="1"/>
  <c r="AV752" i="1"/>
  <c r="AS752" i="1"/>
  <c r="AR752" i="1"/>
  <c r="N752" i="1"/>
  <c r="O752" i="1" s="1"/>
  <c r="H752" i="1"/>
  <c r="AY751" i="1"/>
  <c r="AX751" i="1"/>
  <c r="AW751" i="1"/>
  <c r="AV751" i="1"/>
  <c r="AS751" i="1"/>
  <c r="AR751" i="1"/>
  <c r="N751" i="1"/>
  <c r="O751" i="1" s="1"/>
  <c r="H751" i="1"/>
  <c r="AY750" i="1"/>
  <c r="AX750" i="1"/>
  <c r="AW750" i="1"/>
  <c r="AV750" i="1"/>
  <c r="AS750" i="1"/>
  <c r="AR750" i="1"/>
  <c r="N750" i="1"/>
  <c r="O750" i="1" s="1"/>
  <c r="H750" i="1"/>
  <c r="AY749" i="1"/>
  <c r="AX749" i="1"/>
  <c r="AW749" i="1"/>
  <c r="AV749" i="1"/>
  <c r="AS749" i="1"/>
  <c r="AR749" i="1"/>
  <c r="N749" i="1"/>
  <c r="O749" i="1" s="1"/>
  <c r="U749" i="1" s="1"/>
  <c r="H749" i="1"/>
  <c r="AY748" i="1"/>
  <c r="AX748" i="1"/>
  <c r="AW748" i="1"/>
  <c r="AV748" i="1"/>
  <c r="AS748" i="1"/>
  <c r="AR748" i="1"/>
  <c r="N748" i="1"/>
  <c r="O748" i="1" s="1"/>
  <c r="H748" i="1"/>
  <c r="AY747" i="1"/>
  <c r="AX747" i="1"/>
  <c r="AW747" i="1"/>
  <c r="AV747" i="1"/>
  <c r="AS747" i="1"/>
  <c r="AR747" i="1"/>
  <c r="N747" i="1"/>
  <c r="O747" i="1" s="1"/>
  <c r="H747" i="1"/>
  <c r="AY746" i="1"/>
  <c r="AX746" i="1"/>
  <c r="AW746" i="1"/>
  <c r="AV746" i="1"/>
  <c r="AS746" i="1"/>
  <c r="AR746" i="1"/>
  <c r="N746" i="1"/>
  <c r="O746" i="1" s="1"/>
  <c r="H746" i="1"/>
  <c r="AY745" i="1"/>
  <c r="AX745" i="1"/>
  <c r="AW745" i="1"/>
  <c r="AV745" i="1"/>
  <c r="AS745" i="1"/>
  <c r="AR745" i="1"/>
  <c r="U745" i="1"/>
  <c r="N745" i="1"/>
  <c r="O745" i="1" s="1"/>
  <c r="H745" i="1"/>
  <c r="AY744" i="1"/>
  <c r="AX744" i="1"/>
  <c r="AW744" i="1"/>
  <c r="AV744" i="1"/>
  <c r="AS744" i="1"/>
  <c r="AR744" i="1"/>
  <c r="V744" i="1"/>
  <c r="N744" i="1"/>
  <c r="O744" i="1" s="1"/>
  <c r="H744" i="1"/>
  <c r="AY743" i="1"/>
  <c r="AX743" i="1"/>
  <c r="AW743" i="1"/>
  <c r="AV743" i="1"/>
  <c r="AS743" i="1"/>
  <c r="AR743" i="1"/>
  <c r="P743" i="1"/>
  <c r="N743" i="1"/>
  <c r="O743" i="1" s="1"/>
  <c r="U743" i="1" s="1"/>
  <c r="H743" i="1"/>
  <c r="AY742" i="1"/>
  <c r="AX742" i="1"/>
  <c r="AW742" i="1"/>
  <c r="AV742" i="1"/>
  <c r="AS742" i="1"/>
  <c r="AR742" i="1"/>
  <c r="O742" i="1"/>
  <c r="N742" i="1"/>
  <c r="H742" i="1"/>
  <c r="AY741" i="1"/>
  <c r="AX741" i="1"/>
  <c r="AW741" i="1"/>
  <c r="AV741" i="1"/>
  <c r="AS741" i="1"/>
  <c r="AR741" i="1"/>
  <c r="O741" i="1"/>
  <c r="U741" i="1" s="1"/>
  <c r="N741" i="1"/>
  <c r="H741" i="1"/>
  <c r="AY740" i="1"/>
  <c r="AX740" i="1"/>
  <c r="AW740" i="1"/>
  <c r="AV740" i="1"/>
  <c r="AS740" i="1"/>
  <c r="AR740" i="1"/>
  <c r="N740" i="1"/>
  <c r="O740" i="1" s="1"/>
  <c r="V740" i="1" s="1"/>
  <c r="H740" i="1"/>
  <c r="AY739" i="1"/>
  <c r="AX739" i="1"/>
  <c r="AW739" i="1"/>
  <c r="AV739" i="1"/>
  <c r="AS739" i="1"/>
  <c r="AR739" i="1"/>
  <c r="N739" i="1"/>
  <c r="O739" i="1" s="1"/>
  <c r="V739" i="1" s="1"/>
  <c r="H739" i="1"/>
  <c r="AY738" i="1"/>
  <c r="AX738" i="1"/>
  <c r="AW738" i="1"/>
  <c r="AV738" i="1"/>
  <c r="AS738" i="1"/>
  <c r="AR738" i="1"/>
  <c r="O738" i="1"/>
  <c r="U738" i="1" s="1"/>
  <c r="N738" i="1"/>
  <c r="H738" i="1"/>
  <c r="AY737" i="1"/>
  <c r="AX737" i="1"/>
  <c r="AW737" i="1"/>
  <c r="AV737" i="1"/>
  <c r="AS737" i="1"/>
  <c r="AR737" i="1"/>
  <c r="O737" i="1"/>
  <c r="U737" i="1" s="1"/>
  <c r="N737" i="1"/>
  <c r="H737" i="1"/>
  <c r="AY736" i="1"/>
  <c r="AX736" i="1"/>
  <c r="AW736" i="1"/>
  <c r="AV736" i="1"/>
  <c r="AS736" i="1"/>
  <c r="AR736" i="1"/>
  <c r="N736" i="1"/>
  <c r="O736" i="1" s="1"/>
  <c r="H736" i="1"/>
  <c r="AY735" i="1"/>
  <c r="AX735" i="1"/>
  <c r="AW735" i="1"/>
  <c r="AV735" i="1"/>
  <c r="AS735" i="1"/>
  <c r="AR735" i="1"/>
  <c r="S735" i="1"/>
  <c r="T735" i="1" s="1"/>
  <c r="N735" i="1"/>
  <c r="O735" i="1" s="1"/>
  <c r="P735" i="1" s="1"/>
  <c r="H735" i="1"/>
  <c r="AY734" i="1"/>
  <c r="AX734" i="1"/>
  <c r="AW734" i="1"/>
  <c r="AV734" i="1"/>
  <c r="AS734" i="1"/>
  <c r="AR734" i="1"/>
  <c r="O734" i="1"/>
  <c r="N734" i="1"/>
  <c r="H734" i="1"/>
  <c r="AY733" i="1"/>
  <c r="AX733" i="1"/>
  <c r="AW733" i="1"/>
  <c r="AV733" i="1"/>
  <c r="AS733" i="1"/>
  <c r="AR733" i="1"/>
  <c r="N733" i="1"/>
  <c r="O733" i="1" s="1"/>
  <c r="H733" i="1"/>
  <c r="AY732" i="1"/>
  <c r="AX732" i="1"/>
  <c r="AW732" i="1"/>
  <c r="AV732" i="1"/>
  <c r="AS732" i="1"/>
  <c r="AR732" i="1"/>
  <c r="O732" i="1"/>
  <c r="N732" i="1"/>
  <c r="H732" i="1"/>
  <c r="AY731" i="1"/>
  <c r="AX731" i="1"/>
  <c r="AW731" i="1"/>
  <c r="AV731" i="1"/>
  <c r="AS731" i="1"/>
  <c r="AR731" i="1"/>
  <c r="N731" i="1"/>
  <c r="O731" i="1" s="1"/>
  <c r="H731" i="1"/>
  <c r="AY730" i="1"/>
  <c r="AX730" i="1"/>
  <c r="AW730" i="1"/>
  <c r="AV730" i="1"/>
  <c r="AS730" i="1"/>
  <c r="AR730" i="1"/>
  <c r="U730" i="1"/>
  <c r="O730" i="1"/>
  <c r="N730" i="1"/>
  <c r="H730" i="1"/>
  <c r="AY729" i="1"/>
  <c r="AX729" i="1"/>
  <c r="AW729" i="1"/>
  <c r="AV729" i="1"/>
  <c r="AS729" i="1"/>
  <c r="AR729" i="1"/>
  <c r="N729" i="1"/>
  <c r="O729" i="1" s="1"/>
  <c r="H729" i="1"/>
  <c r="AY728" i="1"/>
  <c r="AX728" i="1"/>
  <c r="AW728" i="1"/>
  <c r="AV728" i="1"/>
  <c r="AS728" i="1"/>
  <c r="AR728" i="1"/>
  <c r="N728" i="1"/>
  <c r="O728" i="1" s="1"/>
  <c r="V728" i="1" s="1"/>
  <c r="H728" i="1"/>
  <c r="AY727" i="1"/>
  <c r="AX727" i="1"/>
  <c r="AW727" i="1"/>
  <c r="AV727" i="1"/>
  <c r="AS727" i="1"/>
  <c r="AR727" i="1"/>
  <c r="V727" i="1"/>
  <c r="P727" i="1"/>
  <c r="N727" i="1"/>
  <c r="O727" i="1" s="1"/>
  <c r="U727" i="1" s="1"/>
  <c r="H727" i="1"/>
  <c r="AY726" i="1"/>
  <c r="AX726" i="1"/>
  <c r="AW726" i="1"/>
  <c r="AV726" i="1"/>
  <c r="AS726" i="1"/>
  <c r="AR726" i="1"/>
  <c r="N726" i="1"/>
  <c r="O726" i="1" s="1"/>
  <c r="V726" i="1" s="1"/>
  <c r="H726" i="1"/>
  <c r="AY725" i="1"/>
  <c r="AX725" i="1"/>
  <c r="AW725" i="1"/>
  <c r="AV725" i="1"/>
  <c r="AS725" i="1"/>
  <c r="AR725" i="1"/>
  <c r="N725" i="1"/>
  <c r="O725" i="1" s="1"/>
  <c r="U725" i="1" s="1"/>
  <c r="H725" i="1"/>
  <c r="AY724" i="1"/>
  <c r="AX724" i="1"/>
  <c r="AW724" i="1"/>
  <c r="AV724" i="1"/>
  <c r="AS724" i="1"/>
  <c r="AR724" i="1"/>
  <c r="N724" i="1"/>
  <c r="O724" i="1" s="1"/>
  <c r="AY723" i="1"/>
  <c r="AX723" i="1"/>
  <c r="AW723" i="1"/>
  <c r="AV723" i="1"/>
  <c r="AS723" i="1"/>
  <c r="AR723" i="1"/>
  <c r="N723" i="1"/>
  <c r="O723" i="1" s="1"/>
  <c r="V723" i="1" s="1"/>
  <c r="H723" i="1"/>
  <c r="AY722" i="1"/>
  <c r="AX722" i="1"/>
  <c r="AW722" i="1"/>
  <c r="AV722" i="1"/>
  <c r="AS722" i="1"/>
  <c r="AR722" i="1"/>
  <c r="N722" i="1"/>
  <c r="O722" i="1" s="1"/>
  <c r="V722" i="1" s="1"/>
  <c r="H722" i="1"/>
  <c r="AY721" i="1"/>
  <c r="AX721" i="1"/>
  <c r="AW721" i="1"/>
  <c r="AV721" i="1"/>
  <c r="AS721" i="1"/>
  <c r="AR721" i="1"/>
  <c r="N721" i="1"/>
  <c r="O721" i="1" s="1"/>
  <c r="P721" i="1" s="1"/>
  <c r="H721" i="1"/>
  <c r="AY720" i="1"/>
  <c r="AX720" i="1"/>
  <c r="AW720" i="1"/>
  <c r="AV720" i="1"/>
  <c r="AS720" i="1"/>
  <c r="AR720" i="1"/>
  <c r="N720" i="1"/>
  <c r="O720" i="1" s="1"/>
  <c r="H720" i="1"/>
  <c r="AY719" i="1"/>
  <c r="AX719" i="1"/>
  <c r="AW719" i="1"/>
  <c r="AV719" i="1"/>
  <c r="AS719" i="1"/>
  <c r="AR719" i="1"/>
  <c r="N719" i="1"/>
  <c r="O719" i="1" s="1"/>
  <c r="P719" i="1" s="1"/>
  <c r="H719" i="1"/>
  <c r="AY718" i="1"/>
  <c r="AX718" i="1"/>
  <c r="AW718" i="1"/>
  <c r="AV718" i="1"/>
  <c r="AS718" i="1"/>
  <c r="AR718" i="1"/>
  <c r="V718" i="1"/>
  <c r="N718" i="1"/>
  <c r="O718" i="1" s="1"/>
  <c r="H718" i="1"/>
  <c r="AY717" i="1"/>
  <c r="AX717" i="1"/>
  <c r="AW717" i="1"/>
  <c r="AV717" i="1"/>
  <c r="AS717" i="1"/>
  <c r="AR717" i="1"/>
  <c r="N717" i="1"/>
  <c r="O717" i="1" s="1"/>
  <c r="H717" i="1"/>
  <c r="AY716" i="1"/>
  <c r="AX716" i="1"/>
  <c r="AW716" i="1"/>
  <c r="AV716" i="1"/>
  <c r="AS716" i="1"/>
  <c r="AR716" i="1"/>
  <c r="O716" i="1"/>
  <c r="N716" i="1"/>
  <c r="AY715" i="1"/>
  <c r="AX715" i="1"/>
  <c r="AW715" i="1"/>
  <c r="AV715" i="1"/>
  <c r="AS715" i="1"/>
  <c r="AR715" i="1"/>
  <c r="N715" i="1"/>
  <c r="O715" i="1" s="1"/>
  <c r="V715" i="1" s="1"/>
  <c r="AY714" i="1"/>
  <c r="AX714" i="1"/>
  <c r="AW714" i="1"/>
  <c r="AV714" i="1"/>
  <c r="AS714" i="1"/>
  <c r="AR714" i="1"/>
  <c r="P714" i="1"/>
  <c r="Q714" i="1" s="1"/>
  <c r="AO714" i="1" s="1"/>
  <c r="N714" i="1"/>
  <c r="O714" i="1" s="1"/>
  <c r="AY713" i="1"/>
  <c r="AX713" i="1"/>
  <c r="AW713" i="1"/>
  <c r="AV713" i="1"/>
  <c r="AS713" i="1"/>
  <c r="AR713" i="1"/>
  <c r="N713" i="1"/>
  <c r="O713" i="1" s="1"/>
  <c r="AY712" i="1"/>
  <c r="AX712" i="1"/>
  <c r="AW712" i="1"/>
  <c r="AV712" i="1"/>
  <c r="AS712" i="1"/>
  <c r="AR712" i="1"/>
  <c r="N712" i="1"/>
  <c r="O712" i="1" s="1"/>
  <c r="U712" i="1" s="1"/>
  <c r="AY711" i="1"/>
  <c r="AX711" i="1"/>
  <c r="AW711" i="1"/>
  <c r="AV711" i="1"/>
  <c r="AS711" i="1"/>
  <c r="AR711" i="1"/>
  <c r="N711" i="1"/>
  <c r="O711" i="1" s="1"/>
  <c r="AY710" i="1"/>
  <c r="AX710" i="1"/>
  <c r="AW710" i="1"/>
  <c r="AV710" i="1"/>
  <c r="AS710" i="1"/>
  <c r="AR710" i="1"/>
  <c r="N710" i="1"/>
  <c r="O710" i="1" s="1"/>
  <c r="H710" i="1"/>
  <c r="AY709" i="1"/>
  <c r="AX709" i="1"/>
  <c r="AW709" i="1"/>
  <c r="AV709" i="1"/>
  <c r="AS709" i="1"/>
  <c r="AR709" i="1"/>
  <c r="N709" i="1"/>
  <c r="O709" i="1" s="1"/>
  <c r="H709" i="1"/>
  <c r="AY708" i="1"/>
  <c r="AX708" i="1"/>
  <c r="AW708" i="1"/>
  <c r="AV708" i="1"/>
  <c r="AS708" i="1"/>
  <c r="AR708" i="1"/>
  <c r="N708" i="1"/>
  <c r="O708" i="1" s="1"/>
  <c r="H708" i="1"/>
  <c r="AY707" i="1"/>
  <c r="AX707" i="1"/>
  <c r="AW707" i="1"/>
  <c r="AV707" i="1"/>
  <c r="AS707" i="1"/>
  <c r="AR707" i="1"/>
  <c r="N707" i="1"/>
  <c r="O707" i="1" s="1"/>
  <c r="U707" i="1" s="1"/>
  <c r="H707" i="1"/>
  <c r="AY706" i="1"/>
  <c r="AX706" i="1"/>
  <c r="AW706" i="1"/>
  <c r="AV706" i="1"/>
  <c r="AS706" i="1"/>
  <c r="AR706" i="1"/>
  <c r="N706" i="1"/>
  <c r="O706" i="1" s="1"/>
  <c r="H706" i="1"/>
  <c r="AY705" i="1"/>
  <c r="AX705" i="1"/>
  <c r="AW705" i="1"/>
  <c r="AV705" i="1"/>
  <c r="AS705" i="1"/>
  <c r="AR705" i="1"/>
  <c r="Q705" i="1"/>
  <c r="AO705" i="1" s="1"/>
  <c r="N705" i="1"/>
  <c r="O705" i="1" s="1"/>
  <c r="P705" i="1" s="1"/>
  <c r="R705" i="1" s="1"/>
  <c r="AP705" i="1" s="1"/>
  <c r="AY704" i="1"/>
  <c r="AX704" i="1"/>
  <c r="AW704" i="1"/>
  <c r="AV704" i="1"/>
  <c r="AS704" i="1"/>
  <c r="AR704" i="1"/>
  <c r="N704" i="1"/>
  <c r="O704" i="1" s="1"/>
  <c r="AY703" i="1"/>
  <c r="AX703" i="1"/>
  <c r="AW703" i="1"/>
  <c r="AV703" i="1"/>
  <c r="AS703" i="1"/>
  <c r="AR703" i="1"/>
  <c r="N703" i="1"/>
  <c r="O703" i="1" s="1"/>
  <c r="H703" i="1"/>
  <c r="AY702" i="1"/>
  <c r="AX702" i="1"/>
  <c r="AW702" i="1"/>
  <c r="AV702" i="1"/>
  <c r="AS702" i="1"/>
  <c r="AR702" i="1"/>
  <c r="V702" i="1"/>
  <c r="U702" i="1"/>
  <c r="R702" i="1"/>
  <c r="AP702" i="1" s="1"/>
  <c r="N702" i="1"/>
  <c r="O702" i="1" s="1"/>
  <c r="P702" i="1" s="1"/>
  <c r="H702" i="1"/>
  <c r="AY701" i="1"/>
  <c r="AX701" i="1"/>
  <c r="AW701" i="1"/>
  <c r="AV701" i="1"/>
  <c r="AS701" i="1"/>
  <c r="AR701" i="1"/>
  <c r="N701" i="1"/>
  <c r="O701" i="1" s="1"/>
  <c r="AY700" i="1"/>
  <c r="AX700" i="1"/>
  <c r="AW700" i="1"/>
  <c r="AV700" i="1"/>
  <c r="AS700" i="1"/>
  <c r="AR700" i="1"/>
  <c r="N700" i="1"/>
  <c r="O700" i="1" s="1"/>
  <c r="V700" i="1" s="1"/>
  <c r="AY699" i="1"/>
  <c r="AX699" i="1"/>
  <c r="AW699" i="1"/>
  <c r="AV699" i="1"/>
  <c r="AS699" i="1"/>
  <c r="AR699" i="1"/>
  <c r="N699" i="1"/>
  <c r="O699" i="1" s="1"/>
  <c r="H699" i="1"/>
  <c r="AY698" i="1"/>
  <c r="AX698" i="1"/>
  <c r="AW698" i="1"/>
  <c r="AV698" i="1"/>
  <c r="AS698" i="1"/>
  <c r="AR698" i="1"/>
  <c r="N698" i="1"/>
  <c r="O698" i="1" s="1"/>
  <c r="H698" i="1"/>
  <c r="AY697" i="1"/>
  <c r="AX697" i="1"/>
  <c r="AW697" i="1"/>
  <c r="AV697" i="1"/>
  <c r="AS697" i="1"/>
  <c r="AR697" i="1"/>
  <c r="V697" i="1"/>
  <c r="U697" i="1"/>
  <c r="R697" i="1"/>
  <c r="AP697" i="1" s="1"/>
  <c r="N697" i="1"/>
  <c r="O697" i="1" s="1"/>
  <c r="P697" i="1" s="1"/>
  <c r="H697" i="1"/>
  <c r="AY696" i="1"/>
  <c r="AX696" i="1"/>
  <c r="AW696" i="1"/>
  <c r="AV696" i="1"/>
  <c r="AS696" i="1"/>
  <c r="AR696" i="1"/>
  <c r="N696" i="1"/>
  <c r="O696" i="1" s="1"/>
  <c r="P696" i="1" s="1"/>
  <c r="X696" i="1" s="1"/>
  <c r="AQ696" i="1" s="1"/>
  <c r="H696" i="1"/>
  <c r="AY695" i="1"/>
  <c r="AX695" i="1"/>
  <c r="AW695" i="1"/>
  <c r="AV695" i="1"/>
  <c r="AS695" i="1"/>
  <c r="AR695" i="1"/>
  <c r="N695" i="1"/>
  <c r="O695" i="1" s="1"/>
  <c r="V695" i="1" s="1"/>
  <c r="H695" i="1"/>
  <c r="AY694" i="1"/>
  <c r="AX694" i="1"/>
  <c r="AW694" i="1"/>
  <c r="AV694" i="1"/>
  <c r="AS694" i="1"/>
  <c r="AR694" i="1"/>
  <c r="N694" i="1"/>
  <c r="O694" i="1" s="1"/>
  <c r="H694" i="1"/>
  <c r="AY693" i="1"/>
  <c r="AX693" i="1"/>
  <c r="AW693" i="1"/>
  <c r="AV693" i="1"/>
  <c r="AS693" i="1"/>
  <c r="AR693" i="1"/>
  <c r="N693" i="1"/>
  <c r="O693" i="1" s="1"/>
  <c r="H693" i="1"/>
  <c r="AY692" i="1"/>
  <c r="AX692" i="1"/>
  <c r="AW692" i="1"/>
  <c r="AV692" i="1"/>
  <c r="AS692" i="1"/>
  <c r="AR692" i="1"/>
  <c r="N692" i="1"/>
  <c r="O692" i="1" s="1"/>
  <c r="P692" i="1" s="1"/>
  <c r="H692" i="1"/>
  <c r="AY691" i="1"/>
  <c r="AX691" i="1"/>
  <c r="AW691" i="1"/>
  <c r="AV691" i="1"/>
  <c r="AS691" i="1"/>
  <c r="AR691" i="1"/>
  <c r="N691" i="1"/>
  <c r="O691" i="1" s="1"/>
  <c r="H691" i="1"/>
  <c r="AY690" i="1"/>
  <c r="AX690" i="1"/>
  <c r="AW690" i="1"/>
  <c r="AV690" i="1"/>
  <c r="AS690" i="1"/>
  <c r="AR690" i="1"/>
  <c r="N690" i="1"/>
  <c r="O690" i="1" s="1"/>
  <c r="H690" i="1"/>
  <c r="AY689" i="1"/>
  <c r="AX689" i="1"/>
  <c r="AW689" i="1"/>
  <c r="AV689" i="1"/>
  <c r="AS689" i="1"/>
  <c r="AR689" i="1"/>
  <c r="V689" i="1"/>
  <c r="U689" i="1"/>
  <c r="N689" i="1"/>
  <c r="O689" i="1" s="1"/>
  <c r="P689" i="1" s="1"/>
  <c r="H689" i="1"/>
  <c r="AY688" i="1"/>
  <c r="AX688" i="1"/>
  <c r="AW688" i="1"/>
  <c r="AV688" i="1"/>
  <c r="AS688" i="1"/>
  <c r="AR688" i="1"/>
  <c r="N688" i="1"/>
  <c r="O688" i="1" s="1"/>
  <c r="H688" i="1"/>
  <c r="AY687" i="1"/>
  <c r="AX687" i="1"/>
  <c r="AW687" i="1"/>
  <c r="AV687" i="1"/>
  <c r="AS687" i="1"/>
  <c r="AR687" i="1"/>
  <c r="V687" i="1"/>
  <c r="U687" i="1"/>
  <c r="Q687" i="1"/>
  <c r="AO687" i="1" s="1"/>
  <c r="N687" i="1"/>
  <c r="O687" i="1" s="1"/>
  <c r="P687" i="1" s="1"/>
  <c r="R687" i="1" s="1"/>
  <c r="AP687" i="1" s="1"/>
  <c r="H687" i="1"/>
  <c r="AY686" i="1"/>
  <c r="AX686" i="1"/>
  <c r="AW686" i="1"/>
  <c r="AV686" i="1"/>
  <c r="AS686" i="1"/>
  <c r="AR686" i="1"/>
  <c r="N686" i="1"/>
  <c r="O686" i="1" s="1"/>
  <c r="U686" i="1" s="1"/>
  <c r="H686" i="1"/>
  <c r="AY685" i="1"/>
  <c r="AX685" i="1"/>
  <c r="AW685" i="1"/>
  <c r="AV685" i="1"/>
  <c r="AS685" i="1"/>
  <c r="AR685" i="1"/>
  <c r="P685" i="1"/>
  <c r="N685" i="1"/>
  <c r="O685" i="1" s="1"/>
  <c r="U685" i="1" s="1"/>
  <c r="H685" i="1"/>
  <c r="AY684" i="1"/>
  <c r="AX684" i="1"/>
  <c r="AW684" i="1"/>
  <c r="AV684" i="1"/>
  <c r="AS684" i="1"/>
  <c r="AR684" i="1"/>
  <c r="N684" i="1"/>
  <c r="O684" i="1" s="1"/>
  <c r="H684" i="1"/>
  <c r="AY683" i="1"/>
  <c r="AX683" i="1"/>
  <c r="AW683" i="1"/>
  <c r="AV683" i="1"/>
  <c r="AS683" i="1"/>
  <c r="AR683" i="1"/>
  <c r="N683" i="1"/>
  <c r="O683" i="1" s="1"/>
  <c r="U683" i="1" s="1"/>
  <c r="AY682" i="1"/>
  <c r="AX682" i="1"/>
  <c r="AW682" i="1"/>
  <c r="AV682" i="1"/>
  <c r="AS682" i="1"/>
  <c r="AR682" i="1"/>
  <c r="N682" i="1"/>
  <c r="O682" i="1" s="1"/>
  <c r="AY681" i="1"/>
  <c r="AX681" i="1"/>
  <c r="AW681" i="1"/>
  <c r="AV681" i="1"/>
  <c r="AS681" i="1"/>
  <c r="AR681" i="1"/>
  <c r="N681" i="1"/>
  <c r="O681" i="1" s="1"/>
  <c r="AY680" i="1"/>
  <c r="AX680" i="1"/>
  <c r="AW680" i="1"/>
  <c r="AV680" i="1"/>
  <c r="AS680" i="1"/>
  <c r="AR680" i="1"/>
  <c r="N680" i="1"/>
  <c r="O680" i="1" s="1"/>
  <c r="H680" i="1"/>
  <c r="AY679" i="1"/>
  <c r="AX679" i="1"/>
  <c r="AW679" i="1"/>
  <c r="AV679" i="1"/>
  <c r="AS679" i="1"/>
  <c r="AR679" i="1"/>
  <c r="N679" i="1"/>
  <c r="O679" i="1" s="1"/>
  <c r="H679" i="1"/>
  <c r="AY678" i="1"/>
  <c r="AX678" i="1"/>
  <c r="AW678" i="1"/>
  <c r="AV678" i="1"/>
  <c r="AS678" i="1"/>
  <c r="AR678" i="1"/>
  <c r="N678" i="1"/>
  <c r="O678" i="1" s="1"/>
  <c r="H678" i="1"/>
  <c r="AY677" i="1"/>
  <c r="AX677" i="1"/>
  <c r="AW677" i="1"/>
  <c r="AV677" i="1"/>
  <c r="AS677" i="1"/>
  <c r="AR677" i="1"/>
  <c r="N677" i="1"/>
  <c r="O677" i="1" s="1"/>
  <c r="H677" i="1"/>
  <c r="AY676" i="1"/>
  <c r="AX676" i="1"/>
  <c r="AW676" i="1"/>
  <c r="AV676" i="1"/>
  <c r="AS676" i="1"/>
  <c r="AR676" i="1"/>
  <c r="O676" i="1"/>
  <c r="N676" i="1"/>
  <c r="H676" i="1"/>
  <c r="AY675" i="1"/>
  <c r="AX675" i="1"/>
  <c r="AW675" i="1"/>
  <c r="AV675" i="1"/>
  <c r="AS675" i="1"/>
  <c r="AR675" i="1"/>
  <c r="N675" i="1"/>
  <c r="O675" i="1" s="1"/>
  <c r="H675" i="1"/>
  <c r="AY674" i="1"/>
  <c r="AX674" i="1"/>
  <c r="AW674" i="1"/>
  <c r="AV674" i="1"/>
  <c r="AS674" i="1"/>
  <c r="AR674" i="1"/>
  <c r="P674" i="1"/>
  <c r="S674" i="1" s="1"/>
  <c r="N674" i="1"/>
  <c r="O674" i="1" s="1"/>
  <c r="V674" i="1" s="1"/>
  <c r="H674" i="1"/>
  <c r="AY673" i="1"/>
  <c r="AX673" i="1"/>
  <c r="AW673" i="1"/>
  <c r="AV673" i="1"/>
  <c r="AS673" i="1"/>
  <c r="AR673" i="1"/>
  <c r="U673" i="1"/>
  <c r="N673" i="1"/>
  <c r="O673" i="1" s="1"/>
  <c r="P673" i="1" s="1"/>
  <c r="H673" i="1"/>
  <c r="AY672" i="1"/>
  <c r="AX672" i="1"/>
  <c r="AW672" i="1"/>
  <c r="AV672" i="1"/>
  <c r="AS672" i="1"/>
  <c r="AR672" i="1"/>
  <c r="N672" i="1"/>
  <c r="O672" i="1" s="1"/>
  <c r="H672" i="1"/>
  <c r="AY671" i="1"/>
  <c r="AX671" i="1"/>
  <c r="AW671" i="1"/>
  <c r="AV671" i="1"/>
  <c r="AS671" i="1"/>
  <c r="AR671" i="1"/>
  <c r="N671" i="1"/>
  <c r="O671" i="1" s="1"/>
  <c r="H671" i="1"/>
  <c r="AY670" i="1"/>
  <c r="AX670" i="1"/>
  <c r="AW670" i="1"/>
  <c r="AV670" i="1"/>
  <c r="AS670" i="1"/>
  <c r="AR670" i="1"/>
  <c r="N670" i="1"/>
  <c r="O670" i="1" s="1"/>
  <c r="H670" i="1"/>
  <c r="AY669" i="1"/>
  <c r="AX669" i="1"/>
  <c r="AW669" i="1"/>
  <c r="AV669" i="1"/>
  <c r="AS669" i="1"/>
  <c r="AR669" i="1"/>
  <c r="N669" i="1"/>
  <c r="H669" i="1"/>
  <c r="AM663" i="1"/>
  <c r="E663" i="1"/>
  <c r="H662" i="1"/>
  <c r="AF661" i="1"/>
  <c r="AE661" i="1"/>
  <c r="AD661" i="1"/>
  <c r="AC661" i="1"/>
  <c r="Z661" i="1"/>
  <c r="Y661" i="1"/>
  <c r="W661" i="1"/>
  <c r="M661" i="1"/>
  <c r="L661" i="1"/>
  <c r="K661" i="1"/>
  <c r="J661" i="1"/>
  <c r="I661" i="1"/>
  <c r="H661" i="1"/>
  <c r="AY660" i="1"/>
  <c r="AX660" i="1"/>
  <c r="AW660" i="1"/>
  <c r="AV660" i="1"/>
  <c r="AS660" i="1"/>
  <c r="AR660" i="1"/>
  <c r="V660" i="1"/>
  <c r="N660" i="1"/>
  <c r="O660" i="1" s="1"/>
  <c r="U660" i="1" s="1"/>
  <c r="H660" i="1"/>
  <c r="AY659" i="1"/>
  <c r="AX659" i="1"/>
  <c r="AW659" i="1"/>
  <c r="AV659" i="1"/>
  <c r="AS659" i="1"/>
  <c r="AR659" i="1"/>
  <c r="N659" i="1"/>
  <c r="O659" i="1" s="1"/>
  <c r="H659" i="1"/>
  <c r="AY658" i="1"/>
  <c r="AX658" i="1"/>
  <c r="AW658" i="1"/>
  <c r="AV658" i="1"/>
  <c r="AS658" i="1"/>
  <c r="AR658" i="1"/>
  <c r="N658" i="1"/>
  <c r="O658" i="1" s="1"/>
  <c r="H658" i="1"/>
  <c r="AY657" i="1"/>
  <c r="AX657" i="1"/>
  <c r="AW657" i="1"/>
  <c r="AV657" i="1"/>
  <c r="AS657" i="1"/>
  <c r="AR657" i="1"/>
  <c r="N657" i="1"/>
  <c r="O657" i="1" s="1"/>
  <c r="H657" i="1"/>
  <c r="AY656" i="1"/>
  <c r="AX656" i="1"/>
  <c r="AW656" i="1"/>
  <c r="AV656" i="1"/>
  <c r="AS656" i="1"/>
  <c r="AR656" i="1"/>
  <c r="N656" i="1"/>
  <c r="O656" i="1" s="1"/>
  <c r="V656" i="1" s="1"/>
  <c r="H656" i="1"/>
  <c r="AY655" i="1"/>
  <c r="AX655" i="1"/>
  <c r="AW655" i="1"/>
  <c r="AV655" i="1"/>
  <c r="AS655" i="1"/>
  <c r="AR655" i="1"/>
  <c r="N655" i="1"/>
  <c r="O655" i="1" s="1"/>
  <c r="H655" i="1"/>
  <c r="AY654" i="1"/>
  <c r="AX654" i="1"/>
  <c r="AW654" i="1"/>
  <c r="AV654" i="1"/>
  <c r="AS654" i="1"/>
  <c r="AR654" i="1"/>
  <c r="N654" i="1"/>
  <c r="O654" i="1" s="1"/>
  <c r="H654" i="1"/>
  <c r="AY653" i="1"/>
  <c r="AX653" i="1"/>
  <c r="AW653" i="1"/>
  <c r="AV653" i="1"/>
  <c r="AS653" i="1"/>
  <c r="AR653" i="1"/>
  <c r="N653" i="1"/>
  <c r="O653" i="1" s="1"/>
  <c r="H653" i="1"/>
  <c r="AY652" i="1"/>
  <c r="AX652" i="1"/>
  <c r="AW652" i="1"/>
  <c r="AV652" i="1"/>
  <c r="AS652" i="1"/>
  <c r="AR652" i="1"/>
  <c r="O652" i="1"/>
  <c r="N652" i="1"/>
  <c r="H652" i="1"/>
  <c r="AY651" i="1"/>
  <c r="AX651" i="1"/>
  <c r="AW651" i="1"/>
  <c r="AV651" i="1"/>
  <c r="AS651" i="1"/>
  <c r="AR651" i="1"/>
  <c r="N651" i="1"/>
  <c r="O651" i="1" s="1"/>
  <c r="AY650" i="1"/>
  <c r="AX650" i="1"/>
  <c r="AW650" i="1"/>
  <c r="AV650" i="1"/>
  <c r="AS650" i="1"/>
  <c r="AR650" i="1"/>
  <c r="P650" i="1"/>
  <c r="N650" i="1"/>
  <c r="O650" i="1" s="1"/>
  <c r="V650" i="1" s="1"/>
  <c r="H650" i="1"/>
  <c r="AY649" i="1"/>
  <c r="AX649" i="1"/>
  <c r="AW649" i="1"/>
  <c r="AV649" i="1"/>
  <c r="AS649" i="1"/>
  <c r="AR649" i="1"/>
  <c r="O649" i="1"/>
  <c r="P649" i="1" s="1"/>
  <c r="N649" i="1"/>
  <c r="AY648" i="1"/>
  <c r="AX648" i="1"/>
  <c r="AW648" i="1"/>
  <c r="AV648" i="1"/>
  <c r="AS648" i="1"/>
  <c r="AR648" i="1"/>
  <c r="N648" i="1"/>
  <c r="O648" i="1" s="1"/>
  <c r="H648" i="1"/>
  <c r="AY647" i="1"/>
  <c r="AX647" i="1"/>
  <c r="AW647" i="1"/>
  <c r="AV647" i="1"/>
  <c r="AS647" i="1"/>
  <c r="AR647" i="1"/>
  <c r="N647" i="1"/>
  <c r="O647" i="1" s="1"/>
  <c r="H647" i="1"/>
  <c r="AY646" i="1"/>
  <c r="AX646" i="1"/>
  <c r="AW646" i="1"/>
  <c r="AV646" i="1"/>
  <c r="AS646" i="1"/>
  <c r="AR646" i="1"/>
  <c r="O646" i="1"/>
  <c r="N646" i="1"/>
  <c r="H646" i="1"/>
  <c r="AY645" i="1"/>
  <c r="AX645" i="1"/>
  <c r="AW645" i="1"/>
  <c r="AV645" i="1"/>
  <c r="AS645" i="1"/>
  <c r="AR645" i="1"/>
  <c r="N645" i="1"/>
  <c r="O645" i="1" s="1"/>
  <c r="H645" i="1"/>
  <c r="AY644" i="1"/>
  <c r="AX644" i="1"/>
  <c r="AW644" i="1"/>
  <c r="AV644" i="1"/>
  <c r="AS644" i="1"/>
  <c r="AR644" i="1"/>
  <c r="N644" i="1"/>
  <c r="O644" i="1" s="1"/>
  <c r="H644" i="1"/>
  <c r="AY643" i="1"/>
  <c r="AX643" i="1"/>
  <c r="AW643" i="1"/>
  <c r="AV643" i="1"/>
  <c r="AS643" i="1"/>
  <c r="AR643" i="1"/>
  <c r="N643" i="1"/>
  <c r="O643" i="1" s="1"/>
  <c r="H643" i="1"/>
  <c r="AY642" i="1"/>
  <c r="AX642" i="1"/>
  <c r="AW642" i="1"/>
  <c r="AV642" i="1"/>
  <c r="AS642" i="1"/>
  <c r="AR642" i="1"/>
  <c r="O642" i="1"/>
  <c r="N642" i="1"/>
  <c r="H642" i="1"/>
  <c r="AY641" i="1"/>
  <c r="AX641" i="1"/>
  <c r="AW641" i="1"/>
  <c r="AV641" i="1"/>
  <c r="AS641" i="1"/>
  <c r="AR641" i="1"/>
  <c r="N641" i="1"/>
  <c r="O641" i="1" s="1"/>
  <c r="H641" i="1"/>
  <c r="AY640" i="1"/>
  <c r="AX640" i="1"/>
  <c r="AW640" i="1"/>
  <c r="AV640" i="1"/>
  <c r="AS640" i="1"/>
  <c r="AR640" i="1"/>
  <c r="N640" i="1"/>
  <c r="H640" i="1"/>
  <c r="AF639" i="1"/>
  <c r="AF662" i="1" s="1"/>
  <c r="AE639" i="1"/>
  <c r="AD639" i="1"/>
  <c r="AC639" i="1"/>
  <c r="AC662" i="1" s="1"/>
  <c r="Z639" i="1"/>
  <c r="Z662" i="1" s="1"/>
  <c r="Y639" i="1"/>
  <c r="Y662" i="1" s="1"/>
  <c r="W639" i="1"/>
  <c r="M639" i="1"/>
  <c r="L639" i="1"/>
  <c r="L662" i="1" s="1"/>
  <c r="K639" i="1"/>
  <c r="K662" i="1" s="1"/>
  <c r="J639" i="1"/>
  <c r="I639" i="1"/>
  <c r="I662" i="1" s="1"/>
  <c r="AY638" i="1"/>
  <c r="AY639" i="1" s="1"/>
  <c r="AX638" i="1"/>
  <c r="AX639" i="1" s="1"/>
  <c r="AW638" i="1"/>
  <c r="AW639" i="1" s="1"/>
  <c r="AV638" i="1"/>
  <c r="AV639" i="1" s="1"/>
  <c r="AS638" i="1"/>
  <c r="AS639" i="1" s="1"/>
  <c r="AR638" i="1"/>
  <c r="AR639" i="1" s="1"/>
  <c r="N638" i="1"/>
  <c r="H638" i="1"/>
  <c r="AM633" i="1"/>
  <c r="E633" i="1"/>
  <c r="AF631" i="1"/>
  <c r="AE631" i="1"/>
  <c r="AD631" i="1"/>
  <c r="AC631" i="1"/>
  <c r="Z631" i="1"/>
  <c r="Y631" i="1"/>
  <c r="W631" i="1"/>
  <c r="M631" i="1"/>
  <c r="J631" i="1"/>
  <c r="I631" i="1"/>
  <c r="AY630" i="1"/>
  <c r="AX630" i="1"/>
  <c r="AW630" i="1"/>
  <c r="AV630" i="1"/>
  <c r="AS630" i="1"/>
  <c r="AR630" i="1"/>
  <c r="N630" i="1"/>
  <c r="O630" i="1" s="1"/>
  <c r="H630" i="1"/>
  <c r="AY629" i="1"/>
  <c r="AX629" i="1"/>
  <c r="AW629" i="1"/>
  <c r="AV629" i="1"/>
  <c r="AS629" i="1"/>
  <c r="AR629" i="1"/>
  <c r="P629" i="1"/>
  <c r="O629" i="1"/>
  <c r="V629" i="1" s="1"/>
  <c r="N629" i="1"/>
  <c r="H629" i="1"/>
  <c r="AY628" i="1"/>
  <c r="AX628" i="1"/>
  <c r="AW628" i="1"/>
  <c r="AV628" i="1"/>
  <c r="AS628" i="1"/>
  <c r="AR628" i="1"/>
  <c r="N628" i="1"/>
  <c r="O628" i="1" s="1"/>
  <c r="P628" i="1" s="1"/>
  <c r="H628" i="1"/>
  <c r="AY627" i="1"/>
  <c r="AX627" i="1"/>
  <c r="AW627" i="1"/>
  <c r="AV627" i="1"/>
  <c r="AS627" i="1"/>
  <c r="AR627" i="1"/>
  <c r="P627" i="1"/>
  <c r="O627" i="1"/>
  <c r="N627" i="1"/>
  <c r="H627" i="1"/>
  <c r="AY626" i="1"/>
  <c r="AX626" i="1"/>
  <c r="AW626" i="1"/>
  <c r="AV626" i="1"/>
  <c r="AS626" i="1"/>
  <c r="AR626" i="1"/>
  <c r="N626" i="1"/>
  <c r="O626" i="1" s="1"/>
  <c r="P626" i="1" s="1"/>
  <c r="H626" i="1"/>
  <c r="AY625" i="1"/>
  <c r="AX625" i="1"/>
  <c r="AW625" i="1"/>
  <c r="AV625" i="1"/>
  <c r="AS625" i="1"/>
  <c r="AR625" i="1"/>
  <c r="N625" i="1"/>
  <c r="O625" i="1" s="1"/>
  <c r="H625" i="1"/>
  <c r="AY624" i="1"/>
  <c r="AX624" i="1"/>
  <c r="AW624" i="1"/>
  <c r="AV624" i="1"/>
  <c r="AS624" i="1"/>
  <c r="AR624" i="1"/>
  <c r="N624" i="1"/>
  <c r="O624" i="1" s="1"/>
  <c r="P624" i="1" s="1"/>
  <c r="H624" i="1"/>
  <c r="AY623" i="1"/>
  <c r="AX623" i="1"/>
  <c r="AW623" i="1"/>
  <c r="AV623" i="1"/>
  <c r="AS623" i="1"/>
  <c r="AR623" i="1"/>
  <c r="N623" i="1"/>
  <c r="O623" i="1" s="1"/>
  <c r="P623" i="1" s="1"/>
  <c r="H623" i="1"/>
  <c r="AY622" i="1"/>
  <c r="AX622" i="1"/>
  <c r="AW622" i="1"/>
  <c r="AV622" i="1"/>
  <c r="AS622" i="1"/>
  <c r="AR622" i="1"/>
  <c r="N622" i="1"/>
  <c r="O622" i="1" s="1"/>
  <c r="P622" i="1" s="1"/>
  <c r="H622" i="1"/>
  <c r="AY621" i="1"/>
  <c r="AX621" i="1"/>
  <c r="AW621" i="1"/>
  <c r="AV621" i="1"/>
  <c r="AS621" i="1"/>
  <c r="AR621" i="1"/>
  <c r="O621" i="1"/>
  <c r="N621" i="1"/>
  <c r="H621" i="1"/>
  <c r="AY620" i="1"/>
  <c r="AX620" i="1"/>
  <c r="AW620" i="1"/>
  <c r="AV620" i="1"/>
  <c r="AS620" i="1"/>
  <c r="AR620" i="1"/>
  <c r="N620" i="1"/>
  <c r="O620" i="1" s="1"/>
  <c r="P620" i="1" s="1"/>
  <c r="H620" i="1"/>
  <c r="AY619" i="1"/>
  <c r="AX619" i="1"/>
  <c r="AW619" i="1"/>
  <c r="AV619" i="1"/>
  <c r="AS619" i="1"/>
  <c r="AR619" i="1"/>
  <c r="O619" i="1"/>
  <c r="P619" i="1" s="1"/>
  <c r="N619" i="1"/>
  <c r="H619" i="1"/>
  <c r="AY618" i="1"/>
  <c r="AX618" i="1"/>
  <c r="AW618" i="1"/>
  <c r="AV618" i="1"/>
  <c r="AS618" i="1"/>
  <c r="AR618" i="1"/>
  <c r="O618" i="1"/>
  <c r="P618" i="1" s="1"/>
  <c r="N618" i="1"/>
  <c r="H618" i="1"/>
  <c r="AY617" i="1"/>
  <c r="AX617" i="1"/>
  <c r="AW617" i="1"/>
  <c r="AV617" i="1"/>
  <c r="AS617" i="1"/>
  <c r="AR617" i="1"/>
  <c r="N617" i="1"/>
  <c r="O617" i="1" s="1"/>
  <c r="H617" i="1"/>
  <c r="AY616" i="1"/>
  <c r="AX616" i="1"/>
  <c r="AW616" i="1"/>
  <c r="AV616" i="1"/>
  <c r="AS616" i="1"/>
  <c r="AR616" i="1"/>
  <c r="N616" i="1"/>
  <c r="K616" i="1"/>
  <c r="H616" i="1"/>
  <c r="AY615" i="1"/>
  <c r="AX615" i="1"/>
  <c r="AW615" i="1"/>
  <c r="AV615" i="1"/>
  <c r="AS615" i="1"/>
  <c r="AR615" i="1"/>
  <c r="O615" i="1"/>
  <c r="P615" i="1" s="1"/>
  <c r="N615" i="1"/>
  <c r="H615" i="1"/>
  <c r="AF614" i="1"/>
  <c r="AE614" i="1"/>
  <c r="AD614" i="1"/>
  <c r="AC614" i="1"/>
  <c r="Z614" i="1"/>
  <c r="Y614" i="1"/>
  <c r="W614" i="1"/>
  <c r="I614" i="1"/>
  <c r="I632" i="1" s="1"/>
  <c r="AY613" i="1"/>
  <c r="AX613" i="1"/>
  <c r="AW613" i="1"/>
  <c r="AV613" i="1"/>
  <c r="AS613" i="1"/>
  <c r="AR613" i="1"/>
  <c r="N613" i="1"/>
  <c r="O613" i="1" s="1"/>
  <c r="H613" i="1"/>
  <c r="AY612" i="1"/>
  <c r="AX612" i="1"/>
  <c r="AW612" i="1"/>
  <c r="AV612" i="1"/>
  <c r="AS612" i="1"/>
  <c r="AR612" i="1"/>
  <c r="R612" i="1"/>
  <c r="AP612" i="1" s="1"/>
  <c r="N612" i="1"/>
  <c r="O612" i="1" s="1"/>
  <c r="P612" i="1" s="1"/>
  <c r="Q612" i="1" s="1"/>
  <c r="AO612" i="1" s="1"/>
  <c r="H612" i="1"/>
  <c r="AY611" i="1"/>
  <c r="AX611" i="1"/>
  <c r="AX614" i="1" s="1"/>
  <c r="AW611" i="1"/>
  <c r="AV611" i="1"/>
  <c r="AV614" i="1" s="1"/>
  <c r="AS611" i="1"/>
  <c r="AR611" i="1"/>
  <c r="AR614" i="1" s="1"/>
  <c r="N611" i="1"/>
  <c r="O611" i="1" s="1"/>
  <c r="U611" i="1" s="1"/>
  <c r="H611" i="1"/>
  <c r="AM606" i="1"/>
  <c r="E606" i="1"/>
  <c r="AF604" i="1"/>
  <c r="AE604" i="1"/>
  <c r="AD604" i="1"/>
  <c r="AC604" i="1"/>
  <c r="Z604" i="1"/>
  <c r="Y604" i="1"/>
  <c r="W604" i="1"/>
  <c r="M604" i="1"/>
  <c r="J604" i="1"/>
  <c r="I604" i="1"/>
  <c r="AY603" i="1"/>
  <c r="AX603" i="1"/>
  <c r="AW603" i="1"/>
  <c r="AV603" i="1"/>
  <c r="AS603" i="1"/>
  <c r="AR603" i="1"/>
  <c r="N603" i="1"/>
  <c r="O603" i="1" s="1"/>
  <c r="H603" i="1"/>
  <c r="AY602" i="1"/>
  <c r="AX602" i="1"/>
  <c r="AW602" i="1"/>
  <c r="AV602" i="1"/>
  <c r="AS602" i="1"/>
  <c r="AR602" i="1"/>
  <c r="U602" i="1"/>
  <c r="O602" i="1"/>
  <c r="V602" i="1" s="1"/>
  <c r="N602" i="1"/>
  <c r="K602" i="1"/>
  <c r="L602" i="1" s="1"/>
  <c r="H602" i="1"/>
  <c r="AY601" i="1"/>
  <c r="AX601" i="1"/>
  <c r="AW601" i="1"/>
  <c r="AV601" i="1"/>
  <c r="AS601" i="1"/>
  <c r="AR601" i="1"/>
  <c r="N601" i="1"/>
  <c r="O601" i="1" s="1"/>
  <c r="H601" i="1"/>
  <c r="AY600" i="1"/>
  <c r="AX600" i="1"/>
  <c r="AW600" i="1"/>
  <c r="AV600" i="1"/>
  <c r="AS600" i="1"/>
  <c r="AR600" i="1"/>
  <c r="V600" i="1"/>
  <c r="U600" i="1"/>
  <c r="N600" i="1"/>
  <c r="O600" i="1" s="1"/>
  <c r="P600" i="1" s="1"/>
  <c r="K600" i="1"/>
  <c r="L600" i="1" s="1"/>
  <c r="H600" i="1"/>
  <c r="AY599" i="1"/>
  <c r="AX599" i="1"/>
  <c r="AW599" i="1"/>
  <c r="AV599" i="1"/>
  <c r="AS599" i="1"/>
  <c r="AR599" i="1"/>
  <c r="N599" i="1"/>
  <c r="O599" i="1" s="1"/>
  <c r="K599" i="1"/>
  <c r="L599" i="1" s="1"/>
  <c r="H599" i="1"/>
  <c r="AY598" i="1"/>
  <c r="AX598" i="1"/>
  <c r="AW598" i="1"/>
  <c r="AV598" i="1"/>
  <c r="AS598" i="1"/>
  <c r="AR598" i="1"/>
  <c r="N598" i="1"/>
  <c r="O598" i="1" s="1"/>
  <c r="L598" i="1"/>
  <c r="K598" i="1"/>
  <c r="H598" i="1"/>
  <c r="AY597" i="1"/>
  <c r="AX597" i="1"/>
  <c r="AW597" i="1"/>
  <c r="AV597" i="1"/>
  <c r="AS597" i="1"/>
  <c r="AR597" i="1"/>
  <c r="O597" i="1"/>
  <c r="N597" i="1"/>
  <c r="K597" i="1"/>
  <c r="L597" i="1" s="1"/>
  <c r="H597" i="1"/>
  <c r="AY596" i="1"/>
  <c r="AX596" i="1"/>
  <c r="AW596" i="1"/>
  <c r="AV596" i="1"/>
  <c r="AS596" i="1"/>
  <c r="AR596" i="1"/>
  <c r="V596" i="1"/>
  <c r="U596" i="1"/>
  <c r="N596" i="1"/>
  <c r="O596" i="1" s="1"/>
  <c r="P596" i="1" s="1"/>
  <c r="K596" i="1"/>
  <c r="L596" i="1" s="1"/>
  <c r="H596" i="1"/>
  <c r="AY595" i="1"/>
  <c r="AX595" i="1"/>
  <c r="AW595" i="1"/>
  <c r="AV595" i="1"/>
  <c r="AS595" i="1"/>
  <c r="AR595" i="1"/>
  <c r="N595" i="1"/>
  <c r="O595" i="1" s="1"/>
  <c r="K595" i="1"/>
  <c r="L595" i="1" s="1"/>
  <c r="H595" i="1"/>
  <c r="AY594" i="1"/>
  <c r="AX594" i="1"/>
  <c r="AW594" i="1"/>
  <c r="AV594" i="1"/>
  <c r="AS594" i="1"/>
  <c r="AR594" i="1"/>
  <c r="N594" i="1"/>
  <c r="O594" i="1" s="1"/>
  <c r="L594" i="1"/>
  <c r="K594" i="1"/>
  <c r="H594" i="1"/>
  <c r="AY593" i="1"/>
  <c r="AX593" i="1"/>
  <c r="AW593" i="1"/>
  <c r="AV593" i="1"/>
  <c r="AS593" i="1"/>
  <c r="AR593" i="1"/>
  <c r="O593" i="1"/>
  <c r="N593" i="1"/>
  <c r="K593" i="1"/>
  <c r="L593" i="1" s="1"/>
  <c r="H593" i="1"/>
  <c r="AY592" i="1"/>
  <c r="AX592" i="1"/>
  <c r="AW592" i="1"/>
  <c r="AV592" i="1"/>
  <c r="AS592" i="1"/>
  <c r="AR592" i="1"/>
  <c r="V592" i="1"/>
  <c r="U592" i="1"/>
  <c r="N592" i="1"/>
  <c r="O592" i="1" s="1"/>
  <c r="P592" i="1" s="1"/>
  <c r="K592" i="1"/>
  <c r="L592" i="1" s="1"/>
  <c r="H592" i="1"/>
  <c r="AY591" i="1"/>
  <c r="AX591" i="1"/>
  <c r="AW591" i="1"/>
  <c r="AV591" i="1"/>
  <c r="AS591" i="1"/>
  <c r="AR591" i="1"/>
  <c r="N591" i="1"/>
  <c r="O591" i="1" s="1"/>
  <c r="K591" i="1"/>
  <c r="H591" i="1"/>
  <c r="AY590" i="1"/>
  <c r="AX590" i="1"/>
  <c r="AW590" i="1"/>
  <c r="AV590" i="1"/>
  <c r="AS590" i="1"/>
  <c r="AR590" i="1"/>
  <c r="N590" i="1"/>
  <c r="O590" i="1" s="1"/>
  <c r="H590" i="1"/>
  <c r="AY589" i="1"/>
  <c r="AX589" i="1"/>
  <c r="AW589" i="1"/>
  <c r="AV589" i="1"/>
  <c r="AS589" i="1"/>
  <c r="AR589" i="1"/>
  <c r="U589" i="1"/>
  <c r="N589" i="1"/>
  <c r="O589" i="1" s="1"/>
  <c r="H589" i="1"/>
  <c r="AY588" i="1"/>
  <c r="AX588" i="1"/>
  <c r="AW588" i="1"/>
  <c r="AV588" i="1"/>
  <c r="AS588" i="1"/>
  <c r="AR588" i="1"/>
  <c r="N588" i="1"/>
  <c r="O588" i="1" s="1"/>
  <c r="H588" i="1"/>
  <c r="AY587" i="1"/>
  <c r="AX587" i="1"/>
  <c r="AW587" i="1"/>
  <c r="AV587" i="1"/>
  <c r="AS587" i="1"/>
  <c r="AR587" i="1"/>
  <c r="N587" i="1"/>
  <c r="O587" i="1" s="1"/>
  <c r="H587" i="1"/>
  <c r="AY586" i="1"/>
  <c r="AX586" i="1"/>
  <c r="AW586" i="1"/>
  <c r="AV586" i="1"/>
  <c r="AS586" i="1"/>
  <c r="AR586" i="1"/>
  <c r="N586" i="1"/>
  <c r="O586" i="1" s="1"/>
  <c r="H586" i="1"/>
  <c r="AY585" i="1"/>
  <c r="AX585" i="1"/>
  <c r="AW585" i="1"/>
  <c r="AV585" i="1"/>
  <c r="AS585" i="1"/>
  <c r="AR585" i="1"/>
  <c r="N585" i="1"/>
  <c r="O585" i="1" s="1"/>
  <c r="P585" i="1" s="1"/>
  <c r="H585" i="1"/>
  <c r="AY584" i="1"/>
  <c r="AX584" i="1"/>
  <c r="AW584" i="1"/>
  <c r="AV584" i="1"/>
  <c r="AS584" i="1"/>
  <c r="AR584" i="1"/>
  <c r="N584" i="1"/>
  <c r="O584" i="1" s="1"/>
  <c r="H584" i="1"/>
  <c r="AY583" i="1"/>
  <c r="AX583" i="1"/>
  <c r="AW583" i="1"/>
  <c r="AV583" i="1"/>
  <c r="AS583" i="1"/>
  <c r="AR583" i="1"/>
  <c r="N583" i="1"/>
  <c r="O583" i="1" s="1"/>
  <c r="H583" i="1"/>
  <c r="AY582" i="1"/>
  <c r="AX582" i="1"/>
  <c r="AW582" i="1"/>
  <c r="AV582" i="1"/>
  <c r="AS582" i="1"/>
  <c r="AR582" i="1"/>
  <c r="U582" i="1"/>
  <c r="N582" i="1"/>
  <c r="O582" i="1" s="1"/>
  <c r="P582" i="1" s="1"/>
  <c r="S582" i="1" s="1"/>
  <c r="T582" i="1" s="1"/>
  <c r="H582" i="1"/>
  <c r="AY581" i="1"/>
  <c r="AX581" i="1"/>
  <c r="AW581" i="1"/>
  <c r="AV581" i="1"/>
  <c r="AS581" i="1"/>
  <c r="AR581" i="1"/>
  <c r="N581" i="1"/>
  <c r="O581" i="1" s="1"/>
  <c r="H581" i="1"/>
  <c r="AY580" i="1"/>
  <c r="AX580" i="1"/>
  <c r="AW580" i="1"/>
  <c r="AV580" i="1"/>
  <c r="AS580" i="1"/>
  <c r="AR580" i="1"/>
  <c r="N580" i="1"/>
  <c r="O580" i="1" s="1"/>
  <c r="AY579" i="1"/>
  <c r="AX579" i="1"/>
  <c r="AW579" i="1"/>
  <c r="AV579" i="1"/>
  <c r="AS579" i="1"/>
  <c r="AR579" i="1"/>
  <c r="N579" i="1"/>
  <c r="O579" i="1" s="1"/>
  <c r="H579" i="1"/>
  <c r="AY578" i="1"/>
  <c r="AX578" i="1"/>
  <c r="AW578" i="1"/>
  <c r="AV578" i="1"/>
  <c r="AS578" i="1"/>
  <c r="AR578" i="1"/>
  <c r="N578" i="1"/>
  <c r="O578" i="1" s="1"/>
  <c r="V578" i="1" s="1"/>
  <c r="H578" i="1"/>
  <c r="AY577" i="1"/>
  <c r="AX577" i="1"/>
  <c r="AW577" i="1"/>
  <c r="AV577" i="1"/>
  <c r="AS577" i="1"/>
  <c r="AR577" i="1"/>
  <c r="N577" i="1"/>
  <c r="O577" i="1" s="1"/>
  <c r="H577" i="1"/>
  <c r="AY576" i="1"/>
  <c r="AX576" i="1"/>
  <c r="AW576" i="1"/>
  <c r="AV576" i="1"/>
  <c r="AS576" i="1"/>
  <c r="AR576" i="1"/>
  <c r="N576" i="1"/>
  <c r="O576" i="1" s="1"/>
  <c r="H576" i="1"/>
  <c r="AY575" i="1"/>
  <c r="AX575" i="1"/>
  <c r="AW575" i="1"/>
  <c r="AV575" i="1"/>
  <c r="AS575" i="1"/>
  <c r="AR575" i="1"/>
  <c r="N575" i="1"/>
  <c r="O575" i="1" s="1"/>
  <c r="H575" i="1"/>
  <c r="AY574" i="1"/>
  <c r="AX574" i="1"/>
  <c r="AW574" i="1"/>
  <c r="AV574" i="1"/>
  <c r="AS574" i="1"/>
  <c r="AR574" i="1"/>
  <c r="N574" i="1"/>
  <c r="O574" i="1" s="1"/>
  <c r="H574" i="1"/>
  <c r="AY573" i="1"/>
  <c r="AX573" i="1"/>
  <c r="AW573" i="1"/>
  <c r="AV573" i="1"/>
  <c r="AS573" i="1"/>
  <c r="AR573" i="1"/>
  <c r="N573" i="1"/>
  <c r="O573" i="1" s="1"/>
  <c r="H573" i="1"/>
  <c r="AY572" i="1"/>
  <c r="AX572" i="1"/>
  <c r="AW572" i="1"/>
  <c r="AV572" i="1"/>
  <c r="AS572" i="1"/>
  <c r="AR572" i="1"/>
  <c r="N572" i="1"/>
  <c r="O572" i="1" s="1"/>
  <c r="U572" i="1" s="1"/>
  <c r="H572" i="1"/>
  <c r="AY571" i="1"/>
  <c r="AX571" i="1"/>
  <c r="AW571" i="1"/>
  <c r="AV571" i="1"/>
  <c r="AS571" i="1"/>
  <c r="AR571" i="1"/>
  <c r="N571" i="1"/>
  <c r="O571" i="1" s="1"/>
  <c r="H571" i="1"/>
  <c r="AY570" i="1"/>
  <c r="AX570" i="1"/>
  <c r="AW570" i="1"/>
  <c r="AV570" i="1"/>
  <c r="AS570" i="1"/>
  <c r="AR570" i="1"/>
  <c r="N570" i="1"/>
  <c r="O570" i="1" s="1"/>
  <c r="H570" i="1"/>
  <c r="AY569" i="1"/>
  <c r="AX569" i="1"/>
  <c r="AW569" i="1"/>
  <c r="AV569" i="1"/>
  <c r="AS569" i="1"/>
  <c r="AR569" i="1"/>
  <c r="N569" i="1"/>
  <c r="O569" i="1" s="1"/>
  <c r="H569" i="1"/>
  <c r="AY568" i="1"/>
  <c r="AX568" i="1"/>
  <c r="AW568" i="1"/>
  <c r="AV568" i="1"/>
  <c r="AS568" i="1"/>
  <c r="AR568" i="1"/>
  <c r="N568" i="1"/>
  <c r="O568" i="1" s="1"/>
  <c r="U568" i="1" s="1"/>
  <c r="H568" i="1"/>
  <c r="AY567" i="1"/>
  <c r="AX567" i="1"/>
  <c r="AW567" i="1"/>
  <c r="AV567" i="1"/>
  <c r="AS567" i="1"/>
  <c r="AR567" i="1"/>
  <c r="O567" i="1"/>
  <c r="V567" i="1" s="1"/>
  <c r="N567" i="1"/>
  <c r="H567" i="1"/>
  <c r="AY566" i="1"/>
  <c r="AX566" i="1"/>
  <c r="AW566" i="1"/>
  <c r="AV566" i="1"/>
  <c r="AS566" i="1"/>
  <c r="AR566" i="1"/>
  <c r="N566" i="1"/>
  <c r="O566" i="1" s="1"/>
  <c r="H566" i="1"/>
  <c r="AY565" i="1"/>
  <c r="AX565" i="1"/>
  <c r="AW565" i="1"/>
  <c r="AV565" i="1"/>
  <c r="AS565" i="1"/>
  <c r="AR565" i="1"/>
  <c r="N565" i="1"/>
  <c r="O565" i="1" s="1"/>
  <c r="H565" i="1"/>
  <c r="AY564" i="1"/>
  <c r="AX564" i="1"/>
  <c r="AW564" i="1"/>
  <c r="AV564" i="1"/>
  <c r="AS564" i="1"/>
  <c r="AR564" i="1"/>
  <c r="N564" i="1"/>
  <c r="O564" i="1" s="1"/>
  <c r="H564" i="1"/>
  <c r="AY563" i="1"/>
  <c r="AX563" i="1"/>
  <c r="AW563" i="1"/>
  <c r="AV563" i="1"/>
  <c r="AS563" i="1"/>
  <c r="AR563" i="1"/>
  <c r="O563" i="1"/>
  <c r="N563" i="1"/>
  <c r="H563" i="1"/>
  <c r="AY562" i="1"/>
  <c r="AX562" i="1"/>
  <c r="AW562" i="1"/>
  <c r="AV562" i="1"/>
  <c r="AS562" i="1"/>
  <c r="AR562" i="1"/>
  <c r="O562" i="1"/>
  <c r="N562" i="1"/>
  <c r="H562" i="1"/>
  <c r="AY561" i="1"/>
  <c r="AX561" i="1"/>
  <c r="AW561" i="1"/>
  <c r="AV561" i="1"/>
  <c r="AS561" i="1"/>
  <c r="AR561" i="1"/>
  <c r="N561" i="1"/>
  <c r="O561" i="1" s="1"/>
  <c r="P561" i="1" s="1"/>
  <c r="H561" i="1"/>
  <c r="AY560" i="1"/>
  <c r="AX560" i="1"/>
  <c r="AW560" i="1"/>
  <c r="AV560" i="1"/>
  <c r="AS560" i="1"/>
  <c r="AR560" i="1"/>
  <c r="N560" i="1"/>
  <c r="O560" i="1" s="1"/>
  <c r="H560" i="1"/>
  <c r="AY559" i="1"/>
  <c r="AX559" i="1"/>
  <c r="AW559" i="1"/>
  <c r="AV559" i="1"/>
  <c r="AS559" i="1"/>
  <c r="AR559" i="1"/>
  <c r="N559" i="1"/>
  <c r="O559" i="1" s="1"/>
  <c r="H559" i="1"/>
  <c r="AY558" i="1"/>
  <c r="AX558" i="1"/>
  <c r="AW558" i="1"/>
  <c r="AV558" i="1"/>
  <c r="AS558" i="1"/>
  <c r="AR558" i="1"/>
  <c r="N558" i="1"/>
  <c r="O558" i="1" s="1"/>
  <c r="V558" i="1" s="1"/>
  <c r="H558" i="1"/>
  <c r="AY557" i="1"/>
  <c r="AX557" i="1"/>
  <c r="AW557" i="1"/>
  <c r="AV557" i="1"/>
  <c r="AS557" i="1"/>
  <c r="AR557" i="1"/>
  <c r="N557" i="1"/>
  <c r="O557" i="1" s="1"/>
  <c r="P557" i="1" s="1"/>
  <c r="H557" i="1"/>
  <c r="AY556" i="1"/>
  <c r="AX556" i="1"/>
  <c r="AW556" i="1"/>
  <c r="AV556" i="1"/>
  <c r="AS556" i="1"/>
  <c r="AR556" i="1"/>
  <c r="N556" i="1"/>
  <c r="O556" i="1" s="1"/>
  <c r="H556" i="1"/>
  <c r="AY555" i="1"/>
  <c r="AX555" i="1"/>
  <c r="AW555" i="1"/>
  <c r="AV555" i="1"/>
  <c r="AS555" i="1"/>
  <c r="AR555" i="1"/>
  <c r="N555" i="1"/>
  <c r="O555" i="1" s="1"/>
  <c r="H555" i="1"/>
  <c r="AY554" i="1"/>
  <c r="AX554" i="1"/>
  <c r="AW554" i="1"/>
  <c r="AV554" i="1"/>
  <c r="AS554" i="1"/>
  <c r="AR554" i="1"/>
  <c r="P554" i="1"/>
  <c r="Q554" i="1" s="1"/>
  <c r="AO554" i="1" s="1"/>
  <c r="O554" i="1"/>
  <c r="V554" i="1" s="1"/>
  <c r="N554" i="1"/>
  <c r="H554" i="1"/>
  <c r="AY553" i="1"/>
  <c r="AX553" i="1"/>
  <c r="AW553" i="1"/>
  <c r="AV553" i="1"/>
  <c r="AS553" i="1"/>
  <c r="AR553" i="1"/>
  <c r="N553" i="1"/>
  <c r="O553" i="1" s="1"/>
  <c r="P553" i="1" s="1"/>
  <c r="H553" i="1"/>
  <c r="AY552" i="1"/>
  <c r="AX552" i="1"/>
  <c r="AW552" i="1"/>
  <c r="AV552" i="1"/>
  <c r="AS552" i="1"/>
  <c r="AR552" i="1"/>
  <c r="N552" i="1"/>
  <c r="O552" i="1" s="1"/>
  <c r="H552" i="1"/>
  <c r="AY551" i="1"/>
  <c r="AX551" i="1"/>
  <c r="AW551" i="1"/>
  <c r="AV551" i="1"/>
  <c r="AS551" i="1"/>
  <c r="AR551" i="1"/>
  <c r="N551" i="1"/>
  <c r="O551" i="1" s="1"/>
  <c r="H551" i="1"/>
  <c r="AY550" i="1"/>
  <c r="AX550" i="1"/>
  <c r="AW550" i="1"/>
  <c r="AV550" i="1"/>
  <c r="AS550" i="1"/>
  <c r="AR550" i="1"/>
  <c r="N550" i="1"/>
  <c r="O550" i="1" s="1"/>
  <c r="U550" i="1" s="1"/>
  <c r="H550" i="1"/>
  <c r="AY549" i="1"/>
  <c r="AX549" i="1"/>
  <c r="AW549" i="1"/>
  <c r="AV549" i="1"/>
  <c r="AS549" i="1"/>
  <c r="AR549" i="1"/>
  <c r="O549" i="1"/>
  <c r="P549" i="1" s="1"/>
  <c r="R549" i="1" s="1"/>
  <c r="AP549" i="1" s="1"/>
  <c r="N549" i="1"/>
  <c r="H549" i="1"/>
  <c r="AY548" i="1"/>
  <c r="AX548" i="1"/>
  <c r="AW548" i="1"/>
  <c r="AV548" i="1"/>
  <c r="AS548" i="1"/>
  <c r="AR548" i="1"/>
  <c r="U548" i="1"/>
  <c r="N548" i="1"/>
  <c r="O548" i="1" s="1"/>
  <c r="H548" i="1"/>
  <c r="AY547" i="1"/>
  <c r="AX547" i="1"/>
  <c r="AW547" i="1"/>
  <c r="AV547" i="1"/>
  <c r="AS547" i="1"/>
  <c r="AR547" i="1"/>
  <c r="N547" i="1"/>
  <c r="O547" i="1" s="1"/>
  <c r="H547" i="1"/>
  <c r="AY546" i="1"/>
  <c r="AX546" i="1"/>
  <c r="AW546" i="1"/>
  <c r="AV546" i="1"/>
  <c r="AS546" i="1"/>
  <c r="AR546" i="1"/>
  <c r="N546" i="1"/>
  <c r="O546" i="1" s="1"/>
  <c r="H546" i="1"/>
  <c r="AY545" i="1"/>
  <c r="AX545" i="1"/>
  <c r="AW545" i="1"/>
  <c r="AV545" i="1"/>
  <c r="AS545" i="1"/>
  <c r="AR545" i="1"/>
  <c r="N545" i="1"/>
  <c r="O545" i="1" s="1"/>
  <c r="P545" i="1" s="1"/>
  <c r="H545" i="1"/>
  <c r="AY544" i="1"/>
  <c r="AX544" i="1"/>
  <c r="AW544" i="1"/>
  <c r="AV544" i="1"/>
  <c r="AS544" i="1"/>
  <c r="AR544" i="1"/>
  <c r="N544" i="1"/>
  <c r="O544" i="1" s="1"/>
  <c r="U544" i="1" s="1"/>
  <c r="H544" i="1"/>
  <c r="AY543" i="1"/>
  <c r="AX543" i="1"/>
  <c r="AW543" i="1"/>
  <c r="AV543" i="1"/>
  <c r="AS543" i="1"/>
  <c r="AR543" i="1"/>
  <c r="N543" i="1"/>
  <c r="O543" i="1" s="1"/>
  <c r="V543" i="1" s="1"/>
  <c r="H543" i="1"/>
  <c r="AY542" i="1"/>
  <c r="AX542" i="1"/>
  <c r="AW542" i="1"/>
  <c r="AV542" i="1"/>
  <c r="AS542" i="1"/>
  <c r="AR542" i="1"/>
  <c r="U542" i="1"/>
  <c r="P542" i="1"/>
  <c r="O542" i="1"/>
  <c r="V542" i="1" s="1"/>
  <c r="N542" i="1"/>
  <c r="H542" i="1"/>
  <c r="AY541" i="1"/>
  <c r="AX541" i="1"/>
  <c r="AW541" i="1"/>
  <c r="AV541" i="1"/>
  <c r="AS541" i="1"/>
  <c r="AR541" i="1"/>
  <c r="N541" i="1"/>
  <c r="O541" i="1" s="1"/>
  <c r="P541" i="1" s="1"/>
  <c r="R541" i="1" s="1"/>
  <c r="AP541" i="1" s="1"/>
  <c r="H541" i="1"/>
  <c r="AY540" i="1"/>
  <c r="AX540" i="1"/>
  <c r="AW540" i="1"/>
  <c r="AV540" i="1"/>
  <c r="AS540" i="1"/>
  <c r="AR540" i="1"/>
  <c r="N540" i="1"/>
  <c r="O540" i="1" s="1"/>
  <c r="H540" i="1"/>
  <c r="AY539" i="1"/>
  <c r="AX539" i="1"/>
  <c r="AW539" i="1"/>
  <c r="AV539" i="1"/>
  <c r="AS539" i="1"/>
  <c r="AR539" i="1"/>
  <c r="N539" i="1"/>
  <c r="O539" i="1" s="1"/>
  <c r="H539" i="1"/>
  <c r="AY538" i="1"/>
  <c r="AX538" i="1"/>
  <c r="AW538" i="1"/>
  <c r="AV538" i="1"/>
  <c r="AS538" i="1"/>
  <c r="AR538" i="1"/>
  <c r="N538" i="1"/>
  <c r="O538" i="1" s="1"/>
  <c r="H538" i="1"/>
  <c r="AY537" i="1"/>
  <c r="AX537" i="1"/>
  <c r="AW537" i="1"/>
  <c r="AV537" i="1"/>
  <c r="AS537" i="1"/>
  <c r="AR537" i="1"/>
  <c r="N537" i="1"/>
  <c r="O537" i="1" s="1"/>
  <c r="P537" i="1" s="1"/>
  <c r="H537" i="1"/>
  <c r="AY536" i="1"/>
  <c r="AX536" i="1"/>
  <c r="AW536" i="1"/>
  <c r="AV536" i="1"/>
  <c r="AS536" i="1"/>
  <c r="AR536" i="1"/>
  <c r="N536" i="1"/>
  <c r="O536" i="1" s="1"/>
  <c r="H536" i="1"/>
  <c r="AY535" i="1"/>
  <c r="AX535" i="1"/>
  <c r="AW535" i="1"/>
  <c r="AV535" i="1"/>
  <c r="AS535" i="1"/>
  <c r="AR535" i="1"/>
  <c r="O535" i="1"/>
  <c r="N535" i="1"/>
  <c r="H535" i="1"/>
  <c r="AY534" i="1"/>
  <c r="AX534" i="1"/>
  <c r="AW534" i="1"/>
  <c r="AV534" i="1"/>
  <c r="AS534" i="1"/>
  <c r="AR534" i="1"/>
  <c r="P534" i="1"/>
  <c r="Q534" i="1" s="1"/>
  <c r="AO534" i="1" s="1"/>
  <c r="O534" i="1"/>
  <c r="N534" i="1"/>
  <c r="H534" i="1"/>
  <c r="AY533" i="1"/>
  <c r="AX533" i="1"/>
  <c r="AW533" i="1"/>
  <c r="AV533" i="1"/>
  <c r="AS533" i="1"/>
  <c r="AR533" i="1"/>
  <c r="N533" i="1"/>
  <c r="O533" i="1" s="1"/>
  <c r="P533" i="1" s="1"/>
  <c r="H533" i="1"/>
  <c r="AY532" i="1"/>
  <c r="AX532" i="1"/>
  <c r="AW532" i="1"/>
  <c r="AV532" i="1"/>
  <c r="AS532" i="1"/>
  <c r="AR532" i="1"/>
  <c r="N532" i="1"/>
  <c r="O532" i="1" s="1"/>
  <c r="U532" i="1" s="1"/>
  <c r="H532" i="1"/>
  <c r="AY531" i="1"/>
  <c r="AX531" i="1"/>
  <c r="AW531" i="1"/>
  <c r="AV531" i="1"/>
  <c r="AS531" i="1"/>
  <c r="AR531" i="1"/>
  <c r="N531" i="1"/>
  <c r="O531" i="1" s="1"/>
  <c r="H531" i="1"/>
  <c r="AY530" i="1"/>
  <c r="AX530" i="1"/>
  <c r="AW530" i="1"/>
  <c r="AV530" i="1"/>
  <c r="AS530" i="1"/>
  <c r="AR530" i="1"/>
  <c r="N530" i="1"/>
  <c r="O530" i="1" s="1"/>
  <c r="U530" i="1" s="1"/>
  <c r="H530" i="1"/>
  <c r="AY529" i="1"/>
  <c r="AX529" i="1"/>
  <c r="AW529" i="1"/>
  <c r="AV529" i="1"/>
  <c r="AS529" i="1"/>
  <c r="AR529" i="1"/>
  <c r="O529" i="1"/>
  <c r="P529" i="1" s="1"/>
  <c r="S529" i="1" s="1"/>
  <c r="N529" i="1"/>
  <c r="H529" i="1"/>
  <c r="AY528" i="1"/>
  <c r="AX528" i="1"/>
  <c r="AW528" i="1"/>
  <c r="AV528" i="1"/>
  <c r="AS528" i="1"/>
  <c r="AR528" i="1"/>
  <c r="U528" i="1"/>
  <c r="N528" i="1"/>
  <c r="O528" i="1" s="1"/>
  <c r="H528" i="1"/>
  <c r="AY527" i="1"/>
  <c r="AX527" i="1"/>
  <c r="AW527" i="1"/>
  <c r="AV527" i="1"/>
  <c r="AS527" i="1"/>
  <c r="AR527" i="1"/>
  <c r="N527" i="1"/>
  <c r="O527" i="1" s="1"/>
  <c r="H527" i="1"/>
  <c r="AY526" i="1"/>
  <c r="AX526" i="1"/>
  <c r="AW526" i="1"/>
  <c r="AV526" i="1"/>
  <c r="AS526" i="1"/>
  <c r="AR526" i="1"/>
  <c r="N526" i="1"/>
  <c r="O526" i="1" s="1"/>
  <c r="U526" i="1" s="1"/>
  <c r="H526" i="1"/>
  <c r="AY525" i="1"/>
  <c r="AX525" i="1"/>
  <c r="AW525" i="1"/>
  <c r="AV525" i="1"/>
  <c r="AS525" i="1"/>
  <c r="AR525" i="1"/>
  <c r="N525" i="1"/>
  <c r="O525" i="1" s="1"/>
  <c r="P525" i="1" s="1"/>
  <c r="H525" i="1"/>
  <c r="AY524" i="1"/>
  <c r="AX524" i="1"/>
  <c r="AW524" i="1"/>
  <c r="AV524" i="1"/>
  <c r="AS524" i="1"/>
  <c r="AR524" i="1"/>
  <c r="N524" i="1"/>
  <c r="O524" i="1" s="1"/>
  <c r="H524" i="1"/>
  <c r="AY523" i="1"/>
  <c r="AX523" i="1"/>
  <c r="AW523" i="1"/>
  <c r="AV523" i="1"/>
  <c r="AS523" i="1"/>
  <c r="AR523" i="1"/>
  <c r="N523" i="1"/>
  <c r="O523" i="1" s="1"/>
  <c r="H523" i="1"/>
  <c r="AY522" i="1"/>
  <c r="AX522" i="1"/>
  <c r="AW522" i="1"/>
  <c r="AV522" i="1"/>
  <c r="AS522" i="1"/>
  <c r="AR522" i="1"/>
  <c r="N522" i="1"/>
  <c r="O522" i="1" s="1"/>
  <c r="AY521" i="1"/>
  <c r="AX521" i="1"/>
  <c r="AW521" i="1"/>
  <c r="AV521" i="1"/>
  <c r="AS521" i="1"/>
  <c r="AR521" i="1"/>
  <c r="N521" i="1"/>
  <c r="O521" i="1" s="1"/>
  <c r="H521" i="1"/>
  <c r="AY520" i="1"/>
  <c r="AX520" i="1"/>
  <c r="AW520" i="1"/>
  <c r="AV520" i="1"/>
  <c r="AS520" i="1"/>
  <c r="AR520" i="1"/>
  <c r="N520" i="1"/>
  <c r="O520" i="1" s="1"/>
  <c r="H520" i="1"/>
  <c r="AY519" i="1"/>
  <c r="AX519" i="1"/>
  <c r="AW519" i="1"/>
  <c r="AV519" i="1"/>
  <c r="AS519" i="1"/>
  <c r="AR519" i="1"/>
  <c r="N519" i="1"/>
  <c r="O519" i="1" s="1"/>
  <c r="H519" i="1"/>
  <c r="AY518" i="1"/>
  <c r="AX518" i="1"/>
  <c r="AW518" i="1"/>
  <c r="AV518" i="1"/>
  <c r="AS518" i="1"/>
  <c r="AR518" i="1"/>
  <c r="O518" i="1"/>
  <c r="P518" i="1" s="1"/>
  <c r="N518" i="1"/>
  <c r="H518" i="1"/>
  <c r="AY517" i="1"/>
  <c r="AX517" i="1"/>
  <c r="AW517" i="1"/>
  <c r="AV517" i="1"/>
  <c r="AS517" i="1"/>
  <c r="AR517" i="1"/>
  <c r="N517" i="1"/>
  <c r="O517" i="1" s="1"/>
  <c r="H517" i="1"/>
  <c r="AY516" i="1"/>
  <c r="AX516" i="1"/>
  <c r="AW516" i="1"/>
  <c r="AV516" i="1"/>
  <c r="AS516" i="1"/>
  <c r="AR516" i="1"/>
  <c r="O516" i="1"/>
  <c r="N516" i="1"/>
  <c r="H516" i="1"/>
  <c r="AY515" i="1"/>
  <c r="AX515" i="1"/>
  <c r="AW515" i="1"/>
  <c r="AV515" i="1"/>
  <c r="AS515" i="1"/>
  <c r="AR515" i="1"/>
  <c r="N515" i="1"/>
  <c r="O515" i="1" s="1"/>
  <c r="H515" i="1"/>
  <c r="AY514" i="1"/>
  <c r="AX514" i="1"/>
  <c r="AW514" i="1"/>
  <c r="AV514" i="1"/>
  <c r="AS514" i="1"/>
  <c r="AR514" i="1"/>
  <c r="N514" i="1"/>
  <c r="O514" i="1" s="1"/>
  <c r="H514" i="1"/>
  <c r="AY513" i="1"/>
  <c r="AX513" i="1"/>
  <c r="AW513" i="1"/>
  <c r="AV513" i="1"/>
  <c r="AS513" i="1"/>
  <c r="AR513" i="1"/>
  <c r="N513" i="1"/>
  <c r="O513" i="1" s="1"/>
  <c r="H513" i="1"/>
  <c r="AY512" i="1"/>
  <c r="AX512" i="1"/>
  <c r="AW512" i="1"/>
  <c r="AV512" i="1"/>
  <c r="AS512" i="1"/>
  <c r="AR512" i="1"/>
  <c r="N512" i="1"/>
  <c r="O512" i="1" s="1"/>
  <c r="H512" i="1"/>
  <c r="AY511" i="1"/>
  <c r="AX511" i="1"/>
  <c r="AW511" i="1"/>
  <c r="AV511" i="1"/>
  <c r="AS511" i="1"/>
  <c r="AR511" i="1"/>
  <c r="N511" i="1"/>
  <c r="O511" i="1" s="1"/>
  <c r="H511" i="1"/>
  <c r="AY510" i="1"/>
  <c r="AX510" i="1"/>
  <c r="AW510" i="1"/>
  <c r="AV510" i="1"/>
  <c r="AS510" i="1"/>
  <c r="AR510" i="1"/>
  <c r="N510" i="1"/>
  <c r="O510" i="1" s="1"/>
  <c r="P510" i="1" s="1"/>
  <c r="H510" i="1"/>
  <c r="AY509" i="1"/>
  <c r="AX509" i="1"/>
  <c r="AW509" i="1"/>
  <c r="AV509" i="1"/>
  <c r="AS509" i="1"/>
  <c r="AR509" i="1"/>
  <c r="N509" i="1"/>
  <c r="O509" i="1" s="1"/>
  <c r="H509" i="1"/>
  <c r="AY508" i="1"/>
  <c r="AX508" i="1"/>
  <c r="AW508" i="1"/>
  <c r="AV508" i="1"/>
  <c r="AS508" i="1"/>
  <c r="AR508" i="1"/>
  <c r="P508" i="1"/>
  <c r="O508" i="1"/>
  <c r="N508" i="1"/>
  <c r="H508" i="1"/>
  <c r="AY507" i="1"/>
  <c r="AX507" i="1"/>
  <c r="AW507" i="1"/>
  <c r="AV507" i="1"/>
  <c r="AS507" i="1"/>
  <c r="AR507" i="1"/>
  <c r="N507" i="1"/>
  <c r="O507" i="1" s="1"/>
  <c r="H507" i="1"/>
  <c r="AY506" i="1"/>
  <c r="AX506" i="1"/>
  <c r="AW506" i="1"/>
  <c r="AV506" i="1"/>
  <c r="AS506" i="1"/>
  <c r="AR506" i="1"/>
  <c r="N506" i="1"/>
  <c r="O506" i="1" s="1"/>
  <c r="H506" i="1"/>
  <c r="AY505" i="1"/>
  <c r="AX505" i="1"/>
  <c r="AW505" i="1"/>
  <c r="AV505" i="1"/>
  <c r="AS505" i="1"/>
  <c r="AR505" i="1"/>
  <c r="V505" i="1"/>
  <c r="N505" i="1"/>
  <c r="O505" i="1" s="1"/>
  <c r="H505" i="1"/>
  <c r="AY504" i="1"/>
  <c r="AX504" i="1"/>
  <c r="AW504" i="1"/>
  <c r="AV504" i="1"/>
  <c r="AS504" i="1"/>
  <c r="AR504" i="1"/>
  <c r="N504" i="1"/>
  <c r="O504" i="1" s="1"/>
  <c r="H504" i="1"/>
  <c r="AY503" i="1"/>
  <c r="AX503" i="1"/>
  <c r="AW503" i="1"/>
  <c r="AV503" i="1"/>
  <c r="AS503" i="1"/>
  <c r="AR503" i="1"/>
  <c r="U503" i="1"/>
  <c r="R503" i="1"/>
  <c r="AP503" i="1" s="1"/>
  <c r="N503" i="1"/>
  <c r="O503" i="1" s="1"/>
  <c r="P503" i="1" s="1"/>
  <c r="H503" i="1"/>
  <c r="AY502" i="1"/>
  <c r="AX502" i="1"/>
  <c r="AW502" i="1"/>
  <c r="AV502" i="1"/>
  <c r="AS502" i="1"/>
  <c r="AR502" i="1"/>
  <c r="O502" i="1"/>
  <c r="N502" i="1"/>
  <c r="H502" i="1"/>
  <c r="AY501" i="1"/>
  <c r="AX501" i="1"/>
  <c r="AW501" i="1"/>
  <c r="AV501" i="1"/>
  <c r="AS501" i="1"/>
  <c r="AR501" i="1"/>
  <c r="N501" i="1"/>
  <c r="O501" i="1" s="1"/>
  <c r="H501" i="1"/>
  <c r="AY500" i="1"/>
  <c r="AX500" i="1"/>
  <c r="AW500" i="1"/>
  <c r="AV500" i="1"/>
  <c r="AS500" i="1"/>
  <c r="AR500" i="1"/>
  <c r="O500" i="1"/>
  <c r="P500" i="1" s="1"/>
  <c r="N500" i="1"/>
  <c r="H500" i="1"/>
  <c r="AY499" i="1"/>
  <c r="AX499" i="1"/>
  <c r="AW499" i="1"/>
  <c r="AV499" i="1"/>
  <c r="AS499" i="1"/>
  <c r="AR499" i="1"/>
  <c r="O499" i="1"/>
  <c r="N499" i="1"/>
  <c r="H499" i="1"/>
  <c r="AY498" i="1"/>
  <c r="AX498" i="1"/>
  <c r="AW498" i="1"/>
  <c r="AV498" i="1"/>
  <c r="AS498" i="1"/>
  <c r="AR498" i="1"/>
  <c r="O498" i="1"/>
  <c r="P498" i="1" s="1"/>
  <c r="N498" i="1"/>
  <c r="H498" i="1"/>
  <c r="AY497" i="1"/>
  <c r="AX497" i="1"/>
  <c r="AW497" i="1"/>
  <c r="AV497" i="1"/>
  <c r="AS497" i="1"/>
  <c r="AR497" i="1"/>
  <c r="N497" i="1"/>
  <c r="O497" i="1" s="1"/>
  <c r="V497" i="1" s="1"/>
  <c r="H497" i="1"/>
  <c r="AY496" i="1"/>
  <c r="AX496" i="1"/>
  <c r="AW496" i="1"/>
  <c r="AV496" i="1"/>
  <c r="AS496" i="1"/>
  <c r="AR496" i="1"/>
  <c r="N496" i="1"/>
  <c r="O496" i="1" s="1"/>
  <c r="U496" i="1" s="1"/>
  <c r="H496" i="1"/>
  <c r="AY495" i="1"/>
  <c r="AX495" i="1"/>
  <c r="AW495" i="1"/>
  <c r="AV495" i="1"/>
  <c r="AS495" i="1"/>
  <c r="AR495" i="1"/>
  <c r="O495" i="1"/>
  <c r="N495" i="1"/>
  <c r="H495" i="1"/>
  <c r="AY494" i="1"/>
  <c r="AX494" i="1"/>
  <c r="AW494" i="1"/>
  <c r="AV494" i="1"/>
  <c r="AS494" i="1"/>
  <c r="AR494" i="1"/>
  <c r="O494" i="1"/>
  <c r="N494" i="1"/>
  <c r="H494" i="1"/>
  <c r="AY493" i="1"/>
  <c r="AX493" i="1"/>
  <c r="AW493" i="1"/>
  <c r="AV493" i="1"/>
  <c r="AS493" i="1"/>
  <c r="AR493" i="1"/>
  <c r="N493" i="1"/>
  <c r="O493" i="1" s="1"/>
  <c r="V493" i="1" s="1"/>
  <c r="H493" i="1"/>
  <c r="AY492" i="1"/>
  <c r="AX492" i="1"/>
  <c r="AW492" i="1"/>
  <c r="AV492" i="1"/>
  <c r="AS492" i="1"/>
  <c r="AR492" i="1"/>
  <c r="O492" i="1"/>
  <c r="P492" i="1" s="1"/>
  <c r="S492" i="1" s="1"/>
  <c r="N492" i="1"/>
  <c r="H492" i="1"/>
  <c r="AY491" i="1"/>
  <c r="AX491" i="1"/>
  <c r="AW491" i="1"/>
  <c r="AV491" i="1"/>
  <c r="AS491" i="1"/>
  <c r="AR491" i="1"/>
  <c r="U491" i="1"/>
  <c r="N491" i="1"/>
  <c r="O491" i="1" s="1"/>
  <c r="P491" i="1" s="1"/>
  <c r="H491" i="1"/>
  <c r="AY490" i="1"/>
  <c r="AX490" i="1"/>
  <c r="AW490" i="1"/>
  <c r="AV490" i="1"/>
  <c r="AS490" i="1"/>
  <c r="AR490" i="1"/>
  <c r="O490" i="1"/>
  <c r="P490" i="1" s="1"/>
  <c r="X490" i="1" s="1"/>
  <c r="AQ490" i="1" s="1"/>
  <c r="N490" i="1"/>
  <c r="H490" i="1"/>
  <c r="AY489" i="1"/>
  <c r="AX489" i="1"/>
  <c r="AW489" i="1"/>
  <c r="AV489" i="1"/>
  <c r="AS489" i="1"/>
  <c r="AR489" i="1"/>
  <c r="N489" i="1"/>
  <c r="O489" i="1" s="1"/>
  <c r="V489" i="1" s="1"/>
  <c r="H489" i="1"/>
  <c r="AY488" i="1"/>
  <c r="AX488" i="1"/>
  <c r="AW488" i="1"/>
  <c r="AV488" i="1"/>
  <c r="AS488" i="1"/>
  <c r="AR488" i="1"/>
  <c r="N488" i="1"/>
  <c r="O488" i="1" s="1"/>
  <c r="U488" i="1" s="1"/>
  <c r="H488" i="1"/>
  <c r="AY487" i="1"/>
  <c r="AX487" i="1"/>
  <c r="AW487" i="1"/>
  <c r="AV487" i="1"/>
  <c r="AS487" i="1"/>
  <c r="AR487" i="1"/>
  <c r="S487" i="1"/>
  <c r="N487" i="1"/>
  <c r="O487" i="1" s="1"/>
  <c r="P487" i="1" s="1"/>
  <c r="H487" i="1"/>
  <c r="AY486" i="1"/>
  <c r="AX486" i="1"/>
  <c r="AW486" i="1"/>
  <c r="AV486" i="1"/>
  <c r="AS486" i="1"/>
  <c r="AR486" i="1"/>
  <c r="N486" i="1"/>
  <c r="O486" i="1" s="1"/>
  <c r="H486" i="1"/>
  <c r="AY485" i="1"/>
  <c r="AX485" i="1"/>
  <c r="AW485" i="1"/>
  <c r="AV485" i="1"/>
  <c r="AS485" i="1"/>
  <c r="AR485" i="1"/>
  <c r="O485" i="1"/>
  <c r="N485" i="1"/>
  <c r="H485" i="1"/>
  <c r="AY484" i="1"/>
  <c r="AX484" i="1"/>
  <c r="AW484" i="1"/>
  <c r="AV484" i="1"/>
  <c r="AS484" i="1"/>
  <c r="AR484" i="1"/>
  <c r="N484" i="1"/>
  <c r="O484" i="1" s="1"/>
  <c r="H484" i="1"/>
  <c r="AY483" i="1"/>
  <c r="AX483" i="1"/>
  <c r="AW483" i="1"/>
  <c r="AV483" i="1"/>
  <c r="AS483" i="1"/>
  <c r="AR483" i="1"/>
  <c r="N483" i="1"/>
  <c r="O483" i="1" s="1"/>
  <c r="H483" i="1"/>
  <c r="AY482" i="1"/>
  <c r="AX482" i="1"/>
  <c r="AW482" i="1"/>
  <c r="AV482" i="1"/>
  <c r="AS482" i="1"/>
  <c r="AR482" i="1"/>
  <c r="U482" i="1"/>
  <c r="O482" i="1"/>
  <c r="V482" i="1" s="1"/>
  <c r="N482" i="1"/>
  <c r="H482" i="1"/>
  <c r="AY481" i="1"/>
  <c r="AX481" i="1"/>
  <c r="AW481" i="1"/>
  <c r="AV481" i="1"/>
  <c r="AS481" i="1"/>
  <c r="AR481" i="1"/>
  <c r="N481" i="1"/>
  <c r="O481" i="1" s="1"/>
  <c r="H481" i="1"/>
  <c r="AY480" i="1"/>
  <c r="AX480" i="1"/>
  <c r="AW480" i="1"/>
  <c r="AV480" i="1"/>
  <c r="AS480" i="1"/>
  <c r="AR480" i="1"/>
  <c r="O480" i="1"/>
  <c r="N480" i="1"/>
  <c r="H480" i="1"/>
  <c r="AY479" i="1"/>
  <c r="AX479" i="1"/>
  <c r="AW479" i="1"/>
  <c r="AV479" i="1"/>
  <c r="AS479" i="1"/>
  <c r="AR479" i="1"/>
  <c r="O479" i="1"/>
  <c r="P479" i="1" s="1"/>
  <c r="Q479" i="1" s="1"/>
  <c r="AO479" i="1" s="1"/>
  <c r="N479" i="1"/>
  <c r="H479" i="1"/>
  <c r="AY478" i="1"/>
  <c r="AX478" i="1"/>
  <c r="AW478" i="1"/>
  <c r="AV478" i="1"/>
  <c r="AS478" i="1"/>
  <c r="AR478" i="1"/>
  <c r="O478" i="1"/>
  <c r="N478" i="1"/>
  <c r="H478" i="1"/>
  <c r="AY477" i="1"/>
  <c r="AX477" i="1"/>
  <c r="AW477" i="1"/>
  <c r="AV477" i="1"/>
  <c r="AS477" i="1"/>
  <c r="AR477" i="1"/>
  <c r="V477" i="1"/>
  <c r="N477" i="1"/>
  <c r="O477" i="1" s="1"/>
  <c r="H477" i="1"/>
  <c r="AY476" i="1"/>
  <c r="AX476" i="1"/>
  <c r="AW476" i="1"/>
  <c r="AV476" i="1"/>
  <c r="AS476" i="1"/>
  <c r="AR476" i="1"/>
  <c r="O476" i="1"/>
  <c r="N476" i="1"/>
  <c r="H476" i="1"/>
  <c r="AY475" i="1"/>
  <c r="AX475" i="1"/>
  <c r="AW475" i="1"/>
  <c r="AV475" i="1"/>
  <c r="AS475" i="1"/>
  <c r="AR475" i="1"/>
  <c r="O475" i="1"/>
  <c r="N475" i="1"/>
  <c r="H475" i="1"/>
  <c r="AY474" i="1"/>
  <c r="AX474" i="1"/>
  <c r="AW474" i="1"/>
  <c r="AV474" i="1"/>
  <c r="AS474" i="1"/>
  <c r="AR474" i="1"/>
  <c r="N474" i="1"/>
  <c r="O474" i="1" s="1"/>
  <c r="H474" i="1"/>
  <c r="AY473" i="1"/>
  <c r="AX473" i="1"/>
  <c r="AW473" i="1"/>
  <c r="AV473" i="1"/>
  <c r="AS473" i="1"/>
  <c r="AR473" i="1"/>
  <c r="N473" i="1"/>
  <c r="O473" i="1" s="1"/>
  <c r="H473" i="1"/>
  <c r="AY472" i="1"/>
  <c r="AX472" i="1"/>
  <c r="AW472" i="1"/>
  <c r="AV472" i="1"/>
  <c r="AS472" i="1"/>
  <c r="AR472" i="1"/>
  <c r="N472" i="1"/>
  <c r="O472" i="1" s="1"/>
  <c r="H472" i="1"/>
  <c r="AY471" i="1"/>
  <c r="AX471" i="1"/>
  <c r="AW471" i="1"/>
  <c r="AV471" i="1"/>
  <c r="AS471" i="1"/>
  <c r="AR471" i="1"/>
  <c r="S471" i="1"/>
  <c r="R471" i="1"/>
  <c r="AP471" i="1" s="1"/>
  <c r="O471" i="1"/>
  <c r="P471" i="1" s="1"/>
  <c r="Q471" i="1" s="1"/>
  <c r="AO471" i="1" s="1"/>
  <c r="N471" i="1"/>
  <c r="H471" i="1"/>
  <c r="AY470" i="1"/>
  <c r="AX470" i="1"/>
  <c r="AW470" i="1"/>
  <c r="AV470" i="1"/>
  <c r="AS470" i="1"/>
  <c r="AR470" i="1"/>
  <c r="N470" i="1"/>
  <c r="O470" i="1" s="1"/>
  <c r="H470" i="1"/>
  <c r="AY469" i="1"/>
  <c r="AX469" i="1"/>
  <c r="AW469" i="1"/>
  <c r="AV469" i="1"/>
  <c r="AS469" i="1"/>
  <c r="AR469" i="1"/>
  <c r="N469" i="1"/>
  <c r="O469" i="1" s="1"/>
  <c r="H469" i="1"/>
  <c r="AY468" i="1"/>
  <c r="AX468" i="1"/>
  <c r="AW468" i="1"/>
  <c r="AV468" i="1"/>
  <c r="AS468" i="1"/>
  <c r="AR468" i="1"/>
  <c r="N468" i="1"/>
  <c r="O468" i="1" s="1"/>
  <c r="H468" i="1"/>
  <c r="AY467" i="1"/>
  <c r="AX467" i="1"/>
  <c r="AW467" i="1"/>
  <c r="AV467" i="1"/>
  <c r="AS467" i="1"/>
  <c r="AR467" i="1"/>
  <c r="N467" i="1"/>
  <c r="O467" i="1" s="1"/>
  <c r="AY466" i="1"/>
  <c r="AX466" i="1"/>
  <c r="AW466" i="1"/>
  <c r="AV466" i="1"/>
  <c r="AS466" i="1"/>
  <c r="AR466" i="1"/>
  <c r="N466" i="1"/>
  <c r="O466" i="1" s="1"/>
  <c r="H466" i="1"/>
  <c r="AY465" i="1"/>
  <c r="AX465" i="1"/>
  <c r="AW465" i="1"/>
  <c r="AV465" i="1"/>
  <c r="AS465" i="1"/>
  <c r="AR465" i="1"/>
  <c r="N465" i="1"/>
  <c r="O465" i="1" s="1"/>
  <c r="U465" i="1" s="1"/>
  <c r="H465" i="1"/>
  <c r="AY464" i="1"/>
  <c r="AX464" i="1"/>
  <c r="AW464" i="1"/>
  <c r="AV464" i="1"/>
  <c r="AS464" i="1"/>
  <c r="AR464" i="1"/>
  <c r="N464" i="1"/>
  <c r="O464" i="1" s="1"/>
  <c r="H464" i="1"/>
  <c r="AY463" i="1"/>
  <c r="AX463" i="1"/>
  <c r="AW463" i="1"/>
  <c r="AV463" i="1"/>
  <c r="AS463" i="1"/>
  <c r="AR463" i="1"/>
  <c r="V463" i="1"/>
  <c r="P463" i="1"/>
  <c r="N463" i="1"/>
  <c r="O463" i="1" s="1"/>
  <c r="U463" i="1" s="1"/>
  <c r="H463" i="1"/>
  <c r="AY462" i="1"/>
  <c r="AX462" i="1"/>
  <c r="AW462" i="1"/>
  <c r="AV462" i="1"/>
  <c r="AS462" i="1"/>
  <c r="AR462" i="1"/>
  <c r="O462" i="1"/>
  <c r="P462" i="1" s="1"/>
  <c r="N462" i="1"/>
  <c r="H462" i="1"/>
  <c r="AY461" i="1"/>
  <c r="AX461" i="1"/>
  <c r="AW461" i="1"/>
  <c r="AV461" i="1"/>
  <c r="AS461" i="1"/>
  <c r="AR461" i="1"/>
  <c r="N461" i="1"/>
  <c r="O461" i="1" s="1"/>
  <c r="P461" i="1" s="1"/>
  <c r="H461" i="1"/>
  <c r="AY460" i="1"/>
  <c r="AX460" i="1"/>
  <c r="AW460" i="1"/>
  <c r="AV460" i="1"/>
  <c r="AS460" i="1"/>
  <c r="AR460" i="1"/>
  <c r="O460" i="1"/>
  <c r="N460" i="1"/>
  <c r="H460" i="1"/>
  <c r="AY459" i="1"/>
  <c r="AX459" i="1"/>
  <c r="AW459" i="1"/>
  <c r="AV459" i="1"/>
  <c r="AS459" i="1"/>
  <c r="AR459" i="1"/>
  <c r="N459" i="1"/>
  <c r="O459" i="1" s="1"/>
  <c r="H459" i="1"/>
  <c r="AY458" i="1"/>
  <c r="AX458" i="1"/>
  <c r="AW458" i="1"/>
  <c r="AV458" i="1"/>
  <c r="AS458" i="1"/>
  <c r="AR458" i="1"/>
  <c r="O458" i="1"/>
  <c r="N458" i="1"/>
  <c r="H458" i="1"/>
  <c r="AY457" i="1"/>
  <c r="AX457" i="1"/>
  <c r="AW457" i="1"/>
  <c r="AV457" i="1"/>
  <c r="AS457" i="1"/>
  <c r="AR457" i="1"/>
  <c r="N457" i="1"/>
  <c r="O457" i="1" s="1"/>
  <c r="H457" i="1"/>
  <c r="AY456" i="1"/>
  <c r="AX456" i="1"/>
  <c r="AW456" i="1"/>
  <c r="AV456" i="1"/>
  <c r="AS456" i="1"/>
  <c r="AR456" i="1"/>
  <c r="N456" i="1"/>
  <c r="O456" i="1" s="1"/>
  <c r="H456" i="1"/>
  <c r="AY455" i="1"/>
  <c r="AX455" i="1"/>
  <c r="AW455" i="1"/>
  <c r="AV455" i="1"/>
  <c r="AS455" i="1"/>
  <c r="AR455" i="1"/>
  <c r="N455" i="1"/>
  <c r="O455" i="1" s="1"/>
  <c r="P455" i="1" s="1"/>
  <c r="H455" i="1"/>
  <c r="AY454" i="1"/>
  <c r="AX454" i="1"/>
  <c r="AW454" i="1"/>
  <c r="AV454" i="1"/>
  <c r="AS454" i="1"/>
  <c r="AR454" i="1"/>
  <c r="N454" i="1"/>
  <c r="O454" i="1" s="1"/>
  <c r="H454" i="1"/>
  <c r="AY453" i="1"/>
  <c r="AX453" i="1"/>
  <c r="AW453" i="1"/>
  <c r="AV453" i="1"/>
  <c r="AS453" i="1"/>
  <c r="AR453" i="1"/>
  <c r="N453" i="1"/>
  <c r="O453" i="1" s="1"/>
  <c r="H453" i="1"/>
  <c r="AY452" i="1"/>
  <c r="AX452" i="1"/>
  <c r="AW452" i="1"/>
  <c r="AV452" i="1"/>
  <c r="AS452" i="1"/>
  <c r="AR452" i="1"/>
  <c r="N452" i="1"/>
  <c r="O452" i="1" s="1"/>
  <c r="V452" i="1" s="1"/>
  <c r="H452" i="1"/>
  <c r="AY451" i="1"/>
  <c r="AX451" i="1"/>
  <c r="AW451" i="1"/>
  <c r="AV451" i="1"/>
  <c r="AS451" i="1"/>
  <c r="AR451" i="1"/>
  <c r="N451" i="1"/>
  <c r="O451" i="1" s="1"/>
  <c r="V451" i="1" s="1"/>
  <c r="H451" i="1"/>
  <c r="AY450" i="1"/>
  <c r="AX450" i="1"/>
  <c r="AW450" i="1"/>
  <c r="AV450" i="1"/>
  <c r="AS450" i="1"/>
  <c r="AR450" i="1"/>
  <c r="N450" i="1"/>
  <c r="O450" i="1" s="1"/>
  <c r="H450" i="1"/>
  <c r="AY449" i="1"/>
  <c r="AX449" i="1"/>
  <c r="AW449" i="1"/>
  <c r="AV449" i="1"/>
  <c r="AS449" i="1"/>
  <c r="AR449" i="1"/>
  <c r="N449" i="1"/>
  <c r="O449" i="1" s="1"/>
  <c r="H449" i="1"/>
  <c r="AY448" i="1"/>
  <c r="AX448" i="1"/>
  <c r="AW448" i="1"/>
  <c r="AV448" i="1"/>
  <c r="AS448" i="1"/>
  <c r="AR448" i="1"/>
  <c r="N448" i="1"/>
  <c r="O448" i="1" s="1"/>
  <c r="H448" i="1"/>
  <c r="AY447" i="1"/>
  <c r="AX447" i="1"/>
  <c r="AW447" i="1"/>
  <c r="AV447" i="1"/>
  <c r="AS447" i="1"/>
  <c r="AR447" i="1"/>
  <c r="N447" i="1"/>
  <c r="O447" i="1" s="1"/>
  <c r="H447" i="1"/>
  <c r="AY446" i="1"/>
  <c r="AX446" i="1"/>
  <c r="AW446" i="1"/>
  <c r="AV446" i="1"/>
  <c r="AS446" i="1"/>
  <c r="AR446" i="1"/>
  <c r="N446" i="1"/>
  <c r="O446" i="1" s="1"/>
  <c r="H446" i="1"/>
  <c r="AY445" i="1"/>
  <c r="AX445" i="1"/>
  <c r="AW445" i="1"/>
  <c r="AV445" i="1"/>
  <c r="AS445" i="1"/>
  <c r="AR445" i="1"/>
  <c r="N445" i="1"/>
  <c r="O445" i="1" s="1"/>
  <c r="H445" i="1"/>
  <c r="AY444" i="1"/>
  <c r="AX444" i="1"/>
  <c r="AW444" i="1"/>
  <c r="AV444" i="1"/>
  <c r="AS444" i="1"/>
  <c r="AR444" i="1"/>
  <c r="V444" i="1"/>
  <c r="U444" i="1"/>
  <c r="N444" i="1"/>
  <c r="O444" i="1" s="1"/>
  <c r="P444" i="1" s="1"/>
  <c r="H444" i="1"/>
  <c r="AY443" i="1"/>
  <c r="AX443" i="1"/>
  <c r="AW443" i="1"/>
  <c r="AV443" i="1"/>
  <c r="AS443" i="1"/>
  <c r="AR443" i="1"/>
  <c r="N443" i="1"/>
  <c r="O443" i="1" s="1"/>
  <c r="P443" i="1" s="1"/>
  <c r="H443" i="1"/>
  <c r="AY442" i="1"/>
  <c r="AX442" i="1"/>
  <c r="AW442" i="1"/>
  <c r="AV442" i="1"/>
  <c r="AS442" i="1"/>
  <c r="AR442" i="1"/>
  <c r="N442" i="1"/>
  <c r="O442" i="1" s="1"/>
  <c r="H442" i="1"/>
  <c r="AY441" i="1"/>
  <c r="AX441" i="1"/>
  <c r="AW441" i="1"/>
  <c r="AV441" i="1"/>
  <c r="AS441" i="1"/>
  <c r="AR441" i="1"/>
  <c r="N441" i="1"/>
  <c r="O441" i="1" s="1"/>
  <c r="H441" i="1"/>
  <c r="AY440" i="1"/>
  <c r="AX440" i="1"/>
  <c r="AW440" i="1"/>
  <c r="AV440" i="1"/>
  <c r="AS440" i="1"/>
  <c r="AR440" i="1"/>
  <c r="N440" i="1"/>
  <c r="O440" i="1" s="1"/>
  <c r="P440" i="1" s="1"/>
  <c r="H440" i="1"/>
  <c r="AY439" i="1"/>
  <c r="AX439" i="1"/>
  <c r="AW439" i="1"/>
  <c r="AV439" i="1"/>
  <c r="AS439" i="1"/>
  <c r="AR439" i="1"/>
  <c r="N439" i="1"/>
  <c r="O439" i="1" s="1"/>
  <c r="H439" i="1"/>
  <c r="AY438" i="1"/>
  <c r="AX438" i="1"/>
  <c r="AW438" i="1"/>
  <c r="AV438" i="1"/>
  <c r="AS438" i="1"/>
  <c r="AR438" i="1"/>
  <c r="N438" i="1"/>
  <c r="O438" i="1" s="1"/>
  <c r="H438" i="1"/>
  <c r="AY437" i="1"/>
  <c r="AX437" i="1"/>
  <c r="AW437" i="1"/>
  <c r="AV437" i="1"/>
  <c r="AS437" i="1"/>
  <c r="AR437" i="1"/>
  <c r="N437" i="1"/>
  <c r="O437" i="1" s="1"/>
  <c r="H437" i="1"/>
  <c r="AY436" i="1"/>
  <c r="AX436" i="1"/>
  <c r="AW436" i="1"/>
  <c r="AV436" i="1"/>
  <c r="AS436" i="1"/>
  <c r="AR436" i="1"/>
  <c r="U436" i="1"/>
  <c r="N436" i="1"/>
  <c r="O436" i="1" s="1"/>
  <c r="H436" i="1"/>
  <c r="AY435" i="1"/>
  <c r="AX435" i="1"/>
  <c r="AW435" i="1"/>
  <c r="AV435" i="1"/>
  <c r="AS435" i="1"/>
  <c r="AR435" i="1"/>
  <c r="N435" i="1"/>
  <c r="O435" i="1" s="1"/>
  <c r="P435" i="1" s="1"/>
  <c r="X435" i="1" s="1"/>
  <c r="H435" i="1"/>
  <c r="AY434" i="1"/>
  <c r="AX434" i="1"/>
  <c r="AW434" i="1"/>
  <c r="AV434" i="1"/>
  <c r="AS434" i="1"/>
  <c r="AR434" i="1"/>
  <c r="N434" i="1"/>
  <c r="O434" i="1" s="1"/>
  <c r="H434" i="1"/>
  <c r="AF433" i="1"/>
  <c r="AE433" i="1"/>
  <c r="AE605" i="1" s="1"/>
  <c r="AD433" i="1"/>
  <c r="AC433" i="1"/>
  <c r="Z433" i="1"/>
  <c r="Z605" i="1" s="1"/>
  <c r="Y433" i="1"/>
  <c r="Y605" i="1" s="1"/>
  <c r="W433" i="1"/>
  <c r="M433" i="1"/>
  <c r="L433" i="1"/>
  <c r="K433" i="1"/>
  <c r="J433" i="1"/>
  <c r="I433" i="1"/>
  <c r="I605" i="1" s="1"/>
  <c r="AY432" i="1"/>
  <c r="AX432" i="1"/>
  <c r="AW432" i="1"/>
  <c r="AV432" i="1"/>
  <c r="AS432" i="1"/>
  <c r="AR432" i="1"/>
  <c r="N432" i="1"/>
  <c r="O432" i="1" s="1"/>
  <c r="H432" i="1"/>
  <c r="AY431" i="1"/>
  <c r="AX431" i="1"/>
  <c r="AW431" i="1"/>
  <c r="AV431" i="1"/>
  <c r="AS431" i="1"/>
  <c r="AR431" i="1"/>
  <c r="N431" i="1"/>
  <c r="O431" i="1" s="1"/>
  <c r="P431" i="1" s="1"/>
  <c r="S431" i="1" s="1"/>
  <c r="H431" i="1"/>
  <c r="AY430" i="1"/>
  <c r="AX430" i="1"/>
  <c r="AW430" i="1"/>
  <c r="AV430" i="1"/>
  <c r="AS430" i="1"/>
  <c r="AR430" i="1"/>
  <c r="N430" i="1"/>
  <c r="O430" i="1" s="1"/>
  <c r="H430" i="1"/>
  <c r="AY429" i="1"/>
  <c r="AX429" i="1"/>
  <c r="AW429" i="1"/>
  <c r="AW433" i="1" s="1"/>
  <c r="AV429" i="1"/>
  <c r="AS429" i="1"/>
  <c r="AR429" i="1"/>
  <c r="O429" i="1"/>
  <c r="N429" i="1"/>
  <c r="H429" i="1"/>
  <c r="AM424" i="1"/>
  <c r="E424" i="1"/>
  <c r="AF422" i="1"/>
  <c r="AE422" i="1"/>
  <c r="AD422" i="1"/>
  <c r="AC422" i="1"/>
  <c r="Z422" i="1"/>
  <c r="Y422" i="1"/>
  <c r="W422" i="1"/>
  <c r="M422" i="1"/>
  <c r="J422" i="1"/>
  <c r="I422" i="1"/>
  <c r="AY421" i="1"/>
  <c r="AX421" i="1"/>
  <c r="AW421" i="1"/>
  <c r="AV421" i="1"/>
  <c r="AS421" i="1"/>
  <c r="AR421" i="1"/>
  <c r="N421" i="1"/>
  <c r="O421" i="1" s="1"/>
  <c r="H421" i="1"/>
  <c r="AY420" i="1"/>
  <c r="AX420" i="1"/>
  <c r="AW420" i="1"/>
  <c r="AV420" i="1"/>
  <c r="AS420" i="1"/>
  <c r="AR420" i="1"/>
  <c r="N420" i="1"/>
  <c r="O420" i="1" s="1"/>
  <c r="H420" i="1"/>
  <c r="AY419" i="1"/>
  <c r="AX419" i="1"/>
  <c r="AW419" i="1"/>
  <c r="AV419" i="1"/>
  <c r="AS419" i="1"/>
  <c r="AR419" i="1"/>
  <c r="N419" i="1"/>
  <c r="O419" i="1" s="1"/>
  <c r="H419" i="1"/>
  <c r="AY418" i="1"/>
  <c r="AX418" i="1"/>
  <c r="AW418" i="1"/>
  <c r="AV418" i="1"/>
  <c r="AS418" i="1"/>
  <c r="AR418" i="1"/>
  <c r="N418" i="1"/>
  <c r="O418" i="1" s="1"/>
  <c r="P418" i="1" s="1"/>
  <c r="H418" i="1"/>
  <c r="AY417" i="1"/>
  <c r="AX417" i="1"/>
  <c r="AW417" i="1"/>
  <c r="AV417" i="1"/>
  <c r="AS417" i="1"/>
  <c r="AR417" i="1"/>
  <c r="N417" i="1"/>
  <c r="O417" i="1" s="1"/>
  <c r="V417" i="1" s="1"/>
  <c r="H417" i="1"/>
  <c r="AY416" i="1"/>
  <c r="AX416" i="1"/>
  <c r="AW416" i="1"/>
  <c r="AV416" i="1"/>
  <c r="AS416" i="1"/>
  <c r="AR416" i="1"/>
  <c r="N416" i="1"/>
  <c r="O416" i="1" s="1"/>
  <c r="V416" i="1" s="1"/>
  <c r="H416" i="1"/>
  <c r="AY415" i="1"/>
  <c r="AX415" i="1"/>
  <c r="AW415" i="1"/>
  <c r="AV415" i="1"/>
  <c r="AS415" i="1"/>
  <c r="AR415" i="1"/>
  <c r="N415" i="1"/>
  <c r="O415" i="1" s="1"/>
  <c r="H415" i="1"/>
  <c r="AY414" i="1"/>
  <c r="AX414" i="1"/>
  <c r="AW414" i="1"/>
  <c r="AV414" i="1"/>
  <c r="AS414" i="1"/>
  <c r="AR414" i="1"/>
  <c r="N414" i="1"/>
  <c r="O414" i="1" s="1"/>
  <c r="H414" i="1"/>
  <c r="AY413" i="1"/>
  <c r="AX413" i="1"/>
  <c r="AW413" i="1"/>
  <c r="AV413" i="1"/>
  <c r="AS413" i="1"/>
  <c r="AR413" i="1"/>
  <c r="O413" i="1"/>
  <c r="N413" i="1"/>
  <c r="K413" i="1"/>
  <c r="L413" i="1" s="1"/>
  <c r="H413" i="1"/>
  <c r="AY412" i="1"/>
  <c r="AX412" i="1"/>
  <c r="AW412" i="1"/>
  <c r="AV412" i="1"/>
  <c r="AS412" i="1"/>
  <c r="AR412" i="1"/>
  <c r="N412" i="1"/>
  <c r="O412" i="1" s="1"/>
  <c r="H412" i="1"/>
  <c r="AY411" i="1"/>
  <c r="AX411" i="1"/>
  <c r="AW411" i="1"/>
  <c r="AV411" i="1"/>
  <c r="AS411" i="1"/>
  <c r="AR411" i="1"/>
  <c r="U411" i="1"/>
  <c r="Q411" i="1"/>
  <c r="AO411" i="1" s="1"/>
  <c r="N411" i="1"/>
  <c r="O411" i="1" s="1"/>
  <c r="P411" i="1" s="1"/>
  <c r="H411" i="1"/>
  <c r="AY410" i="1"/>
  <c r="AX410" i="1"/>
  <c r="AW410" i="1"/>
  <c r="AV410" i="1"/>
  <c r="AS410" i="1"/>
  <c r="AR410" i="1"/>
  <c r="N410" i="1"/>
  <c r="O410" i="1" s="1"/>
  <c r="H410" i="1"/>
  <c r="AY409" i="1"/>
  <c r="AX409" i="1"/>
  <c r="AW409" i="1"/>
  <c r="AV409" i="1"/>
  <c r="AS409" i="1"/>
  <c r="AR409" i="1"/>
  <c r="N409" i="1"/>
  <c r="O409" i="1" s="1"/>
  <c r="V409" i="1" s="1"/>
  <c r="H409" i="1"/>
  <c r="AY408" i="1"/>
  <c r="AX408" i="1"/>
  <c r="AW408" i="1"/>
  <c r="AV408" i="1"/>
  <c r="AS408" i="1"/>
  <c r="AR408" i="1"/>
  <c r="N408" i="1"/>
  <c r="O408" i="1" s="1"/>
  <c r="H408" i="1"/>
  <c r="AY407" i="1"/>
  <c r="AX407" i="1"/>
  <c r="AW407" i="1"/>
  <c r="AV407" i="1"/>
  <c r="AS407" i="1"/>
  <c r="AR407" i="1"/>
  <c r="N407" i="1"/>
  <c r="O407" i="1" s="1"/>
  <c r="H407" i="1"/>
  <c r="AY406" i="1"/>
  <c r="AX406" i="1"/>
  <c r="AW406" i="1"/>
  <c r="AV406" i="1"/>
  <c r="AS406" i="1"/>
  <c r="AR406" i="1"/>
  <c r="N406" i="1"/>
  <c r="O406" i="1" s="1"/>
  <c r="H406" i="1"/>
  <c r="AY405" i="1"/>
  <c r="AX405" i="1"/>
  <c r="AW405" i="1"/>
  <c r="AV405" i="1"/>
  <c r="AS405" i="1"/>
  <c r="AR405" i="1"/>
  <c r="U405" i="1"/>
  <c r="N405" i="1"/>
  <c r="O405" i="1" s="1"/>
  <c r="V405" i="1" s="1"/>
  <c r="AY404" i="1"/>
  <c r="AX404" i="1"/>
  <c r="AW404" i="1"/>
  <c r="AV404" i="1"/>
  <c r="AS404" i="1"/>
  <c r="AR404" i="1"/>
  <c r="N404" i="1"/>
  <c r="O404" i="1" s="1"/>
  <c r="K404" i="1"/>
  <c r="L404" i="1" s="1"/>
  <c r="H404" i="1"/>
  <c r="AY403" i="1"/>
  <c r="AX403" i="1"/>
  <c r="AW403" i="1"/>
  <c r="AV403" i="1"/>
  <c r="AS403" i="1"/>
  <c r="AR403" i="1"/>
  <c r="N403" i="1"/>
  <c r="O403" i="1" s="1"/>
  <c r="P403" i="1" s="1"/>
  <c r="K403" i="1"/>
  <c r="L403" i="1" s="1"/>
  <c r="H403" i="1"/>
  <c r="AY402" i="1"/>
  <c r="AX402" i="1"/>
  <c r="AW402" i="1"/>
  <c r="AV402" i="1"/>
  <c r="AS402" i="1"/>
  <c r="AR402" i="1"/>
  <c r="N402" i="1"/>
  <c r="O402" i="1" s="1"/>
  <c r="U402" i="1" s="1"/>
  <c r="K402" i="1"/>
  <c r="L402" i="1" s="1"/>
  <c r="H402" i="1"/>
  <c r="AY401" i="1"/>
  <c r="AX401" i="1"/>
  <c r="AW401" i="1"/>
  <c r="AV401" i="1"/>
  <c r="AS401" i="1"/>
  <c r="AR401" i="1"/>
  <c r="N401" i="1"/>
  <c r="O401" i="1" s="1"/>
  <c r="K401" i="1"/>
  <c r="L401" i="1" s="1"/>
  <c r="H401" i="1"/>
  <c r="AY400" i="1"/>
  <c r="AX400" i="1"/>
  <c r="AW400" i="1"/>
  <c r="AV400" i="1"/>
  <c r="AS400" i="1"/>
  <c r="AR400" i="1"/>
  <c r="N400" i="1"/>
  <c r="O400" i="1" s="1"/>
  <c r="K400" i="1"/>
  <c r="L400" i="1" s="1"/>
  <c r="H400" i="1"/>
  <c r="AY399" i="1"/>
  <c r="AX399" i="1"/>
  <c r="AW399" i="1"/>
  <c r="AV399" i="1"/>
  <c r="AS399" i="1"/>
  <c r="AR399" i="1"/>
  <c r="N399" i="1"/>
  <c r="O399" i="1" s="1"/>
  <c r="K399" i="1"/>
  <c r="L399" i="1" s="1"/>
  <c r="H399" i="1"/>
  <c r="AY398" i="1"/>
  <c r="AX398" i="1"/>
  <c r="AW398" i="1"/>
  <c r="AV398" i="1"/>
  <c r="AS398" i="1"/>
  <c r="AR398" i="1"/>
  <c r="N398" i="1"/>
  <c r="H398" i="1"/>
  <c r="AY397" i="1"/>
  <c r="AX397" i="1"/>
  <c r="AW397" i="1"/>
  <c r="AV397" i="1"/>
  <c r="AS397" i="1"/>
  <c r="AR397" i="1"/>
  <c r="N397" i="1"/>
  <c r="O397" i="1" s="1"/>
  <c r="P397" i="1" s="1"/>
  <c r="H397" i="1"/>
  <c r="AF396" i="1"/>
  <c r="AF423" i="1" s="1"/>
  <c r="AE396" i="1"/>
  <c r="AE423" i="1" s="1"/>
  <c r="AD396" i="1"/>
  <c r="AC396" i="1"/>
  <c r="Z396" i="1"/>
  <c r="Z423" i="1" s="1"/>
  <c r="Y396" i="1"/>
  <c r="Y423" i="1" s="1"/>
  <c r="W396" i="1"/>
  <c r="M396" i="1"/>
  <c r="J396" i="1"/>
  <c r="J423" i="1" s="1"/>
  <c r="I396" i="1"/>
  <c r="I423" i="1" s="1"/>
  <c r="AY395" i="1"/>
  <c r="AX395" i="1"/>
  <c r="AW395" i="1"/>
  <c r="AV395" i="1"/>
  <c r="AS395" i="1"/>
  <c r="AR395" i="1"/>
  <c r="N395" i="1"/>
  <c r="O395" i="1" s="1"/>
  <c r="P395" i="1" s="1"/>
  <c r="AY394" i="1"/>
  <c r="AX394" i="1"/>
  <c r="AW394" i="1"/>
  <c r="AV394" i="1"/>
  <c r="AS394" i="1"/>
  <c r="AR394" i="1"/>
  <c r="N394" i="1"/>
  <c r="O394" i="1" s="1"/>
  <c r="H394" i="1"/>
  <c r="AY393" i="1"/>
  <c r="AX393" i="1"/>
  <c r="AW393" i="1"/>
  <c r="AV393" i="1"/>
  <c r="AS393" i="1"/>
  <c r="AR393" i="1"/>
  <c r="N393" i="1"/>
  <c r="O393" i="1" s="1"/>
  <c r="K393" i="1"/>
  <c r="K396" i="1" s="1"/>
  <c r="H393" i="1"/>
  <c r="AY392" i="1"/>
  <c r="AX392" i="1"/>
  <c r="AW392" i="1"/>
  <c r="AW396" i="1" s="1"/>
  <c r="AV392" i="1"/>
  <c r="AS392" i="1"/>
  <c r="AR392" i="1"/>
  <c r="N392" i="1"/>
  <c r="H392" i="1"/>
  <c r="AM387" i="1"/>
  <c r="E387" i="1"/>
  <c r="AC386" i="1"/>
  <c r="AF385" i="1"/>
  <c r="AE385" i="1"/>
  <c r="AD385" i="1"/>
  <c r="AC385" i="1"/>
  <c r="Z385" i="1"/>
  <c r="Y385" i="1"/>
  <c r="W385" i="1"/>
  <c r="M385" i="1"/>
  <c r="J385" i="1"/>
  <c r="I385" i="1"/>
  <c r="AY384" i="1"/>
  <c r="AX384" i="1"/>
  <c r="AW384" i="1"/>
  <c r="AV384" i="1"/>
  <c r="AS384" i="1"/>
  <c r="AR384" i="1"/>
  <c r="O384" i="1"/>
  <c r="P384" i="1" s="1"/>
  <c r="N384" i="1"/>
  <c r="H384" i="1"/>
  <c r="AY383" i="1"/>
  <c r="AX383" i="1"/>
  <c r="AW383" i="1"/>
  <c r="AV383" i="1"/>
  <c r="AS383" i="1"/>
  <c r="AR383" i="1"/>
  <c r="N383" i="1"/>
  <c r="O383" i="1" s="1"/>
  <c r="L383" i="1"/>
  <c r="L385" i="1" s="1"/>
  <c r="K383" i="1"/>
  <c r="K385" i="1" s="1"/>
  <c r="H383" i="1"/>
  <c r="N382" i="1"/>
  <c r="O382" i="1" s="1"/>
  <c r="U382" i="1" s="1"/>
  <c r="H382" i="1"/>
  <c r="AY381" i="1"/>
  <c r="AX381" i="1"/>
  <c r="AW381" i="1"/>
  <c r="AV381" i="1"/>
  <c r="AS381" i="1"/>
  <c r="AR381" i="1"/>
  <c r="O381" i="1"/>
  <c r="N381" i="1"/>
  <c r="H381" i="1"/>
  <c r="AY380" i="1"/>
  <c r="AX380" i="1"/>
  <c r="AW380" i="1"/>
  <c r="AV380" i="1"/>
  <c r="AS380" i="1"/>
  <c r="AR380" i="1"/>
  <c r="O380" i="1"/>
  <c r="P380" i="1" s="1"/>
  <c r="X380" i="1" s="1"/>
  <c r="AQ380" i="1" s="1"/>
  <c r="N380" i="1"/>
  <c r="H380" i="1"/>
  <c r="AY379" i="1"/>
  <c r="AX379" i="1"/>
  <c r="AW379" i="1"/>
  <c r="AV379" i="1"/>
  <c r="AS379" i="1"/>
  <c r="AR379" i="1"/>
  <c r="N379" i="1"/>
  <c r="O379" i="1" s="1"/>
  <c r="H379" i="1"/>
  <c r="AY378" i="1"/>
  <c r="AX378" i="1"/>
  <c r="AW378" i="1"/>
  <c r="AV378" i="1"/>
  <c r="AS378" i="1"/>
  <c r="AR378" i="1"/>
  <c r="N378" i="1"/>
  <c r="O378" i="1" s="1"/>
  <c r="V378" i="1" s="1"/>
  <c r="H378" i="1"/>
  <c r="AY377" i="1"/>
  <c r="AX377" i="1"/>
  <c r="AW377" i="1"/>
  <c r="AV377" i="1"/>
  <c r="AS377" i="1"/>
  <c r="AR377" i="1"/>
  <c r="O377" i="1"/>
  <c r="P377" i="1" s="1"/>
  <c r="S377" i="1" s="1"/>
  <c r="N377" i="1"/>
  <c r="H377" i="1"/>
  <c r="AY376" i="1"/>
  <c r="AX376" i="1"/>
  <c r="AW376" i="1"/>
  <c r="AV376" i="1"/>
  <c r="AS376" i="1"/>
  <c r="AR376" i="1"/>
  <c r="N376" i="1"/>
  <c r="O376" i="1" s="1"/>
  <c r="H376" i="1"/>
  <c r="AY375" i="1"/>
  <c r="AX375" i="1"/>
  <c r="AW375" i="1"/>
  <c r="AV375" i="1"/>
  <c r="AS375" i="1"/>
  <c r="AR375" i="1"/>
  <c r="O375" i="1"/>
  <c r="N375" i="1"/>
  <c r="H375" i="1"/>
  <c r="AY374" i="1"/>
  <c r="AX374" i="1"/>
  <c r="AW374" i="1"/>
  <c r="AV374" i="1"/>
  <c r="AS374" i="1"/>
  <c r="AR374" i="1"/>
  <c r="N374" i="1"/>
  <c r="O374" i="1" s="1"/>
  <c r="H374" i="1"/>
  <c r="AY373" i="1"/>
  <c r="AX373" i="1"/>
  <c r="AW373" i="1"/>
  <c r="AV373" i="1"/>
  <c r="AS373" i="1"/>
  <c r="AR373" i="1"/>
  <c r="O373" i="1"/>
  <c r="N373" i="1"/>
  <c r="H373" i="1"/>
  <c r="AY372" i="1"/>
  <c r="AX372" i="1"/>
  <c r="AW372" i="1"/>
  <c r="AV372" i="1"/>
  <c r="AS372" i="1"/>
  <c r="AR372" i="1"/>
  <c r="N372" i="1"/>
  <c r="O372" i="1" s="1"/>
  <c r="H372" i="1"/>
  <c r="AF371" i="1"/>
  <c r="AF386" i="1" s="1"/>
  <c r="AE371" i="1"/>
  <c r="AD371" i="1"/>
  <c r="AD386" i="1" s="1"/>
  <c r="AC371" i="1"/>
  <c r="Z371" i="1"/>
  <c r="Z386" i="1" s="1"/>
  <c r="Y371" i="1"/>
  <c r="W371" i="1"/>
  <c r="W386" i="1" s="1"/>
  <c r="M371" i="1"/>
  <c r="L371" i="1"/>
  <c r="L386" i="1" s="1"/>
  <c r="K371" i="1"/>
  <c r="J371" i="1"/>
  <c r="J386" i="1" s="1"/>
  <c r="I371" i="1"/>
  <c r="AY370" i="1"/>
  <c r="AX370" i="1"/>
  <c r="AW370" i="1"/>
  <c r="AV370" i="1"/>
  <c r="AS370" i="1"/>
  <c r="AR370" i="1"/>
  <c r="P370" i="1"/>
  <c r="N370" i="1"/>
  <c r="O370" i="1" s="1"/>
  <c r="H370" i="1"/>
  <c r="AY369" i="1"/>
  <c r="AX369" i="1"/>
  <c r="AW369" i="1"/>
  <c r="AV369" i="1"/>
  <c r="AS369" i="1"/>
  <c r="AR369" i="1"/>
  <c r="N369" i="1"/>
  <c r="O369" i="1" s="1"/>
  <c r="H369" i="1"/>
  <c r="AY368" i="1"/>
  <c r="AX368" i="1"/>
  <c r="AW368" i="1"/>
  <c r="AV368" i="1"/>
  <c r="AS368" i="1"/>
  <c r="AR368" i="1"/>
  <c r="N368" i="1"/>
  <c r="O368" i="1" s="1"/>
  <c r="H368" i="1"/>
  <c r="AY367" i="1"/>
  <c r="AX367" i="1"/>
  <c r="AW367" i="1"/>
  <c r="AV367" i="1"/>
  <c r="AS367" i="1"/>
  <c r="AR367" i="1"/>
  <c r="O367" i="1"/>
  <c r="U367" i="1" s="1"/>
  <c r="N367" i="1"/>
  <c r="H367" i="1"/>
  <c r="AY366" i="1"/>
  <c r="AX366" i="1"/>
  <c r="AW366" i="1"/>
  <c r="AV366" i="1"/>
  <c r="AS366" i="1"/>
  <c r="AR366" i="1"/>
  <c r="N366" i="1"/>
  <c r="O366" i="1" s="1"/>
  <c r="U366" i="1" s="1"/>
  <c r="H366" i="1"/>
  <c r="AY365" i="1"/>
  <c r="AY371" i="1" s="1"/>
  <c r="AX365" i="1"/>
  <c r="AW365" i="1"/>
  <c r="AV365" i="1"/>
  <c r="AS365" i="1"/>
  <c r="AR365" i="1"/>
  <c r="N365" i="1"/>
  <c r="H365" i="1"/>
  <c r="AM359" i="1"/>
  <c r="E359" i="1"/>
  <c r="AF358" i="1"/>
  <c r="AF357" i="1"/>
  <c r="AE357" i="1"/>
  <c r="AD357" i="1"/>
  <c r="AC357" i="1"/>
  <c r="Z357" i="1"/>
  <c r="Y357" i="1"/>
  <c r="W357" i="1"/>
  <c r="M357" i="1"/>
  <c r="J357" i="1"/>
  <c r="I357" i="1"/>
  <c r="AY356" i="1"/>
  <c r="AX356" i="1"/>
  <c r="AW356" i="1"/>
  <c r="AV356" i="1"/>
  <c r="AS356" i="1"/>
  <c r="AR356" i="1"/>
  <c r="N356" i="1"/>
  <c r="O356" i="1" s="1"/>
  <c r="H356" i="1"/>
  <c r="AY355" i="1"/>
  <c r="AX355" i="1"/>
  <c r="AW355" i="1"/>
  <c r="AV355" i="1"/>
  <c r="AS355" i="1"/>
  <c r="AR355" i="1"/>
  <c r="N355" i="1"/>
  <c r="O355" i="1" s="1"/>
  <c r="H355" i="1"/>
  <c r="AY354" i="1"/>
  <c r="AX354" i="1"/>
  <c r="AW354" i="1"/>
  <c r="AV354" i="1"/>
  <c r="AS354" i="1"/>
  <c r="AR354" i="1"/>
  <c r="N354" i="1"/>
  <c r="O354" i="1" s="1"/>
  <c r="H354" i="1"/>
  <c r="AY353" i="1"/>
  <c r="AX353" i="1"/>
  <c r="AW353" i="1"/>
  <c r="AV353" i="1"/>
  <c r="AS353" i="1"/>
  <c r="AR353" i="1"/>
  <c r="N353" i="1"/>
  <c r="O353" i="1" s="1"/>
  <c r="U353" i="1" s="1"/>
  <c r="H353" i="1"/>
  <c r="AY352" i="1"/>
  <c r="AX352" i="1"/>
  <c r="AW352" i="1"/>
  <c r="AV352" i="1"/>
  <c r="AS352" i="1"/>
  <c r="AR352" i="1"/>
  <c r="N352" i="1"/>
  <c r="O352" i="1" s="1"/>
  <c r="H352" i="1"/>
  <c r="AY351" i="1"/>
  <c r="AX351" i="1"/>
  <c r="AW351" i="1"/>
  <c r="AV351" i="1"/>
  <c r="AS351" i="1"/>
  <c r="AR351" i="1"/>
  <c r="N351" i="1"/>
  <c r="O351" i="1" s="1"/>
  <c r="P351" i="1" s="1"/>
  <c r="H351" i="1"/>
  <c r="AY350" i="1"/>
  <c r="AX350" i="1"/>
  <c r="AW350" i="1"/>
  <c r="AV350" i="1"/>
  <c r="AS350" i="1"/>
  <c r="AR350" i="1"/>
  <c r="N350" i="1"/>
  <c r="O350" i="1" s="1"/>
  <c r="H350" i="1"/>
  <c r="AY349" i="1"/>
  <c r="AX349" i="1"/>
  <c r="AW349" i="1"/>
  <c r="AV349" i="1"/>
  <c r="AS349" i="1"/>
  <c r="AR349" i="1"/>
  <c r="O349" i="1"/>
  <c r="N349" i="1"/>
  <c r="H349" i="1"/>
  <c r="AY348" i="1"/>
  <c r="AX348" i="1"/>
  <c r="AW348" i="1"/>
  <c r="AV348" i="1"/>
  <c r="AS348" i="1"/>
  <c r="AR348" i="1"/>
  <c r="N348" i="1"/>
  <c r="O348" i="1" s="1"/>
  <c r="P348" i="1" s="1"/>
  <c r="H348" i="1"/>
  <c r="AY347" i="1"/>
  <c r="AX347" i="1"/>
  <c r="AW347" i="1"/>
  <c r="AV347" i="1"/>
  <c r="AS347" i="1"/>
  <c r="AR347" i="1"/>
  <c r="N347" i="1"/>
  <c r="O347" i="1" s="1"/>
  <c r="H347" i="1"/>
  <c r="AY346" i="1"/>
  <c r="AX346" i="1"/>
  <c r="AW346" i="1"/>
  <c r="AV346" i="1"/>
  <c r="AS346" i="1"/>
  <c r="AR346" i="1"/>
  <c r="N346" i="1"/>
  <c r="O346" i="1" s="1"/>
  <c r="H346" i="1"/>
  <c r="AY345" i="1"/>
  <c r="AX345" i="1"/>
  <c r="AW345" i="1"/>
  <c r="AV345" i="1"/>
  <c r="AS345" i="1"/>
  <c r="AR345" i="1"/>
  <c r="N345" i="1"/>
  <c r="O345" i="1" s="1"/>
  <c r="H345" i="1"/>
  <c r="AY344" i="1"/>
  <c r="AX344" i="1"/>
  <c r="AW344" i="1"/>
  <c r="AV344" i="1"/>
  <c r="AS344" i="1"/>
  <c r="AR344" i="1"/>
  <c r="V344" i="1"/>
  <c r="U344" i="1"/>
  <c r="N344" i="1"/>
  <c r="O344" i="1" s="1"/>
  <c r="P344" i="1" s="1"/>
  <c r="H344" i="1"/>
  <c r="AY343" i="1"/>
  <c r="AX343" i="1"/>
  <c r="AW343" i="1"/>
  <c r="AV343" i="1"/>
  <c r="AS343" i="1"/>
  <c r="AR343" i="1"/>
  <c r="N343" i="1"/>
  <c r="O343" i="1" s="1"/>
  <c r="H343" i="1"/>
  <c r="AY342" i="1"/>
  <c r="AX342" i="1"/>
  <c r="AW342" i="1"/>
  <c r="AV342" i="1"/>
  <c r="AS342" i="1"/>
  <c r="AR342" i="1"/>
  <c r="N342" i="1"/>
  <c r="O342" i="1" s="1"/>
  <c r="H342" i="1"/>
  <c r="AY341" i="1"/>
  <c r="AX341" i="1"/>
  <c r="AW341" i="1"/>
  <c r="AV341" i="1"/>
  <c r="AS341" i="1"/>
  <c r="AR341" i="1"/>
  <c r="N341" i="1"/>
  <c r="O341" i="1" s="1"/>
  <c r="H341" i="1"/>
  <c r="AY340" i="1"/>
  <c r="AX340" i="1"/>
  <c r="AW340" i="1"/>
  <c r="AV340" i="1"/>
  <c r="AS340" i="1"/>
  <c r="AR340" i="1"/>
  <c r="N340" i="1"/>
  <c r="O340" i="1" s="1"/>
  <c r="U340" i="1" s="1"/>
  <c r="H340" i="1"/>
  <c r="AY339" i="1"/>
  <c r="AX339" i="1"/>
  <c r="AW339" i="1"/>
  <c r="AV339" i="1"/>
  <c r="AS339" i="1"/>
  <c r="AR339" i="1"/>
  <c r="N339" i="1"/>
  <c r="O339" i="1" s="1"/>
  <c r="K339" i="1"/>
  <c r="L339" i="1" s="1"/>
  <c r="L357" i="1" s="1"/>
  <c r="H339" i="1"/>
  <c r="AF338" i="1"/>
  <c r="AE338" i="1"/>
  <c r="AE358" i="1" s="1"/>
  <c r="AD338" i="1"/>
  <c r="AD358" i="1" s="1"/>
  <c r="AC338" i="1"/>
  <c r="AC358" i="1" s="1"/>
  <c r="Z338" i="1"/>
  <c r="Z358" i="1" s="1"/>
  <c r="Y338" i="1"/>
  <c r="Y358" i="1" s="1"/>
  <c r="W338" i="1"/>
  <c r="M338" i="1"/>
  <c r="L338" i="1"/>
  <c r="K338" i="1"/>
  <c r="J338" i="1"/>
  <c r="J358" i="1" s="1"/>
  <c r="I338" i="1"/>
  <c r="AY337" i="1"/>
  <c r="AX337" i="1"/>
  <c r="AW337" i="1"/>
  <c r="AV337" i="1"/>
  <c r="AS337" i="1"/>
  <c r="AR337" i="1"/>
  <c r="P337" i="1"/>
  <c r="N337" i="1"/>
  <c r="O337" i="1" s="1"/>
  <c r="H337" i="1"/>
  <c r="AY336" i="1"/>
  <c r="AX336" i="1"/>
  <c r="AW336" i="1"/>
  <c r="AV336" i="1"/>
  <c r="AS336" i="1"/>
  <c r="AR336" i="1"/>
  <c r="O336" i="1"/>
  <c r="P336" i="1" s="1"/>
  <c r="S336" i="1" s="1"/>
  <c r="N336" i="1"/>
  <c r="H336" i="1"/>
  <c r="AY335" i="1"/>
  <c r="AX335" i="1"/>
  <c r="AW335" i="1"/>
  <c r="AV335" i="1"/>
  <c r="AS335" i="1"/>
  <c r="AR335" i="1"/>
  <c r="N335" i="1"/>
  <c r="O335" i="1" s="1"/>
  <c r="U335" i="1" s="1"/>
  <c r="H335" i="1"/>
  <c r="AY334" i="1"/>
  <c r="AX334" i="1"/>
  <c r="AW334" i="1"/>
  <c r="AV334" i="1"/>
  <c r="AS334" i="1"/>
  <c r="AR334" i="1"/>
  <c r="N334" i="1"/>
  <c r="O334" i="1" s="1"/>
  <c r="H334" i="1"/>
  <c r="AY333" i="1"/>
  <c r="AX333" i="1"/>
  <c r="AW333" i="1"/>
  <c r="AV333" i="1"/>
  <c r="AS333" i="1"/>
  <c r="AR333" i="1"/>
  <c r="N333" i="1"/>
  <c r="O333" i="1" s="1"/>
  <c r="P333" i="1" s="1"/>
  <c r="H333" i="1"/>
  <c r="AY332" i="1"/>
  <c r="AX332" i="1"/>
  <c r="AW332" i="1"/>
  <c r="AV332" i="1"/>
  <c r="AS332" i="1"/>
  <c r="AR332" i="1"/>
  <c r="N332" i="1"/>
  <c r="H332" i="1"/>
  <c r="AM327" i="1"/>
  <c r="E327" i="1"/>
  <c r="AF325" i="1"/>
  <c r="AE325" i="1"/>
  <c r="AD325" i="1"/>
  <c r="AC325" i="1"/>
  <c r="Z325" i="1"/>
  <c r="Z326" i="1" s="1"/>
  <c r="Y325" i="1"/>
  <c r="W325" i="1"/>
  <c r="M325" i="1"/>
  <c r="L325" i="1"/>
  <c r="K325" i="1"/>
  <c r="J325" i="1"/>
  <c r="I325" i="1"/>
  <c r="AY324" i="1"/>
  <c r="AX324" i="1"/>
  <c r="AW324" i="1"/>
  <c r="AV324" i="1"/>
  <c r="AS324" i="1"/>
  <c r="AR324" i="1"/>
  <c r="N324" i="1"/>
  <c r="O324" i="1" s="1"/>
  <c r="H324" i="1"/>
  <c r="AY323" i="1"/>
  <c r="AX323" i="1"/>
  <c r="AW323" i="1"/>
  <c r="AV323" i="1"/>
  <c r="AV325" i="1" s="1"/>
  <c r="AS323" i="1"/>
  <c r="AR323" i="1"/>
  <c r="N323" i="1"/>
  <c r="O323" i="1" s="1"/>
  <c r="V323" i="1" s="1"/>
  <c r="H323" i="1"/>
  <c r="AR322" i="1"/>
  <c r="AF322" i="1"/>
  <c r="AF326" i="1" s="1"/>
  <c r="AE322" i="1"/>
  <c r="AD322" i="1"/>
  <c r="AC322" i="1"/>
  <c r="Z322" i="1"/>
  <c r="Y322" i="1"/>
  <c r="W322" i="1"/>
  <c r="M322" i="1"/>
  <c r="L322" i="1"/>
  <c r="K322" i="1"/>
  <c r="J322" i="1"/>
  <c r="I322" i="1"/>
  <c r="I326" i="1" s="1"/>
  <c r="AY321" i="1"/>
  <c r="AY322" i="1" s="1"/>
  <c r="AX321" i="1"/>
  <c r="AX322" i="1" s="1"/>
  <c r="AW321" i="1"/>
  <c r="AW322" i="1" s="1"/>
  <c r="AV321" i="1"/>
  <c r="AV322" i="1" s="1"/>
  <c r="AS321" i="1"/>
  <c r="AS322" i="1" s="1"/>
  <c r="AR321" i="1"/>
  <c r="N321" i="1"/>
  <c r="H321" i="1"/>
  <c r="AM316" i="1"/>
  <c r="E316" i="1"/>
  <c r="AF314" i="1"/>
  <c r="AE314" i="1"/>
  <c r="AD314" i="1"/>
  <c r="AC314" i="1"/>
  <c r="Z314" i="1"/>
  <c r="Y314" i="1"/>
  <c r="W314" i="1"/>
  <c r="M314" i="1"/>
  <c r="J314" i="1"/>
  <c r="I314" i="1"/>
  <c r="AY313" i="1"/>
  <c r="AX313" i="1"/>
  <c r="AW313" i="1"/>
  <c r="AV313" i="1"/>
  <c r="AS313" i="1"/>
  <c r="AR313" i="1"/>
  <c r="N313" i="1"/>
  <c r="O313" i="1" s="1"/>
  <c r="L313" i="1"/>
  <c r="K313" i="1"/>
  <c r="H313" i="1"/>
  <c r="AY312" i="1"/>
  <c r="AX312" i="1"/>
  <c r="AW312" i="1"/>
  <c r="AV312" i="1"/>
  <c r="AS312" i="1"/>
  <c r="AR312" i="1"/>
  <c r="N312" i="1"/>
  <c r="O312" i="1" s="1"/>
  <c r="H312" i="1"/>
  <c r="AY311" i="1"/>
  <c r="AX311" i="1"/>
  <c r="AW311" i="1"/>
  <c r="AV311" i="1"/>
  <c r="AS311" i="1"/>
  <c r="AR311" i="1"/>
  <c r="N311" i="1"/>
  <c r="O311" i="1" s="1"/>
  <c r="H311" i="1"/>
  <c r="AY310" i="1"/>
  <c r="AX310" i="1"/>
  <c r="AW310" i="1"/>
  <c r="AV310" i="1"/>
  <c r="AS310" i="1"/>
  <c r="AR310" i="1"/>
  <c r="N310" i="1"/>
  <c r="O310" i="1" s="1"/>
  <c r="H310" i="1"/>
  <c r="AY309" i="1"/>
  <c r="AX309" i="1"/>
  <c r="AW309" i="1"/>
  <c r="AV309" i="1"/>
  <c r="AS309" i="1"/>
  <c r="AR309" i="1"/>
  <c r="O309" i="1"/>
  <c r="N309" i="1"/>
  <c r="H309" i="1"/>
  <c r="AY308" i="1"/>
  <c r="AX308" i="1"/>
  <c r="AW308" i="1"/>
  <c r="AV308" i="1"/>
  <c r="AS308" i="1"/>
  <c r="AR308" i="1"/>
  <c r="N308" i="1"/>
  <c r="O308" i="1" s="1"/>
  <c r="K308" i="1"/>
  <c r="L308" i="1" s="1"/>
  <c r="H308" i="1"/>
  <c r="AY307" i="1"/>
  <c r="AX307" i="1"/>
  <c r="AW307" i="1"/>
  <c r="AV307" i="1"/>
  <c r="AS307" i="1"/>
  <c r="AR307" i="1"/>
  <c r="N307" i="1"/>
  <c r="O307" i="1" s="1"/>
  <c r="P307" i="1" s="1"/>
  <c r="H307" i="1"/>
  <c r="AY306" i="1"/>
  <c r="AX306" i="1"/>
  <c r="AW306" i="1"/>
  <c r="AV306" i="1"/>
  <c r="AS306" i="1"/>
  <c r="AR306" i="1"/>
  <c r="O306" i="1"/>
  <c r="N306" i="1"/>
  <c r="H306" i="1"/>
  <c r="AY305" i="1"/>
  <c r="AX305" i="1"/>
  <c r="AW305" i="1"/>
  <c r="AV305" i="1"/>
  <c r="AS305" i="1"/>
  <c r="AR305" i="1"/>
  <c r="N305" i="1"/>
  <c r="K305" i="1"/>
  <c r="H305" i="1"/>
  <c r="AF304" i="1"/>
  <c r="AE304" i="1"/>
  <c r="AD304" i="1"/>
  <c r="AD315" i="1" s="1"/>
  <c r="AC304" i="1"/>
  <c r="Z304" i="1"/>
  <c r="Z315" i="1" s="1"/>
  <c r="Y304" i="1"/>
  <c r="Y315" i="1" s="1"/>
  <c r="W304" i="1"/>
  <c r="M304" i="1"/>
  <c r="L304" i="1"/>
  <c r="K304" i="1"/>
  <c r="J304" i="1"/>
  <c r="I304" i="1"/>
  <c r="AY303" i="1"/>
  <c r="AX303" i="1"/>
  <c r="AW303" i="1"/>
  <c r="AV303" i="1"/>
  <c r="AS303" i="1"/>
  <c r="AR303" i="1"/>
  <c r="S303" i="1"/>
  <c r="N303" i="1"/>
  <c r="O303" i="1" s="1"/>
  <c r="P303" i="1" s="1"/>
  <c r="H303" i="1"/>
  <c r="AY302" i="1"/>
  <c r="AX302" i="1"/>
  <c r="AW302" i="1"/>
  <c r="AV302" i="1"/>
  <c r="AS302" i="1"/>
  <c r="AR302" i="1"/>
  <c r="N302" i="1"/>
  <c r="O302" i="1" s="1"/>
  <c r="H302" i="1"/>
  <c r="AY301" i="1"/>
  <c r="AX301" i="1"/>
  <c r="AW301" i="1"/>
  <c r="AV301" i="1"/>
  <c r="AS301" i="1"/>
  <c r="AR301" i="1"/>
  <c r="N301" i="1"/>
  <c r="H301" i="1"/>
  <c r="AY300" i="1"/>
  <c r="AX300" i="1"/>
  <c r="AW300" i="1"/>
  <c r="AV300" i="1"/>
  <c r="AS300" i="1"/>
  <c r="AR300" i="1"/>
  <c r="N300" i="1"/>
  <c r="O300" i="1" s="1"/>
  <c r="P300" i="1" s="1"/>
  <c r="AM295" i="1"/>
  <c r="E295" i="1"/>
  <c r="AF293" i="1"/>
  <c r="AE293" i="1"/>
  <c r="AD293" i="1"/>
  <c r="AD294" i="1" s="1"/>
  <c r="AC293" i="1"/>
  <c r="Z293" i="1"/>
  <c r="Y293" i="1"/>
  <c r="W293" i="1"/>
  <c r="M293" i="1"/>
  <c r="J293" i="1"/>
  <c r="I293" i="1"/>
  <c r="AY292" i="1"/>
  <c r="AX292" i="1"/>
  <c r="AW292" i="1"/>
  <c r="AV292" i="1"/>
  <c r="AS292" i="1"/>
  <c r="AR292" i="1"/>
  <c r="N292" i="1"/>
  <c r="O292" i="1" s="1"/>
  <c r="P292" i="1" s="1"/>
  <c r="H292" i="1"/>
  <c r="AY291" i="1"/>
  <c r="AX291" i="1"/>
  <c r="AW291" i="1"/>
  <c r="AV291" i="1"/>
  <c r="AS291" i="1"/>
  <c r="AR291" i="1"/>
  <c r="N291" i="1"/>
  <c r="O291" i="1" s="1"/>
  <c r="P291" i="1" s="1"/>
  <c r="S291" i="1" s="1"/>
  <c r="H291" i="1"/>
  <c r="AY290" i="1"/>
  <c r="AX290" i="1"/>
  <c r="AW290" i="1"/>
  <c r="AV290" i="1"/>
  <c r="AS290" i="1"/>
  <c r="AR290" i="1"/>
  <c r="N290" i="1"/>
  <c r="O290" i="1" s="1"/>
  <c r="U290" i="1" s="1"/>
  <c r="H290" i="1"/>
  <c r="AY289" i="1"/>
  <c r="AX289" i="1"/>
  <c r="AW289" i="1"/>
  <c r="AV289" i="1"/>
  <c r="AS289" i="1"/>
  <c r="AR289" i="1"/>
  <c r="N289" i="1"/>
  <c r="O289" i="1" s="1"/>
  <c r="K289" i="1"/>
  <c r="L289" i="1" s="1"/>
  <c r="AY288" i="1"/>
  <c r="AX288" i="1"/>
  <c r="AW288" i="1"/>
  <c r="AV288" i="1"/>
  <c r="AS288" i="1"/>
  <c r="AR288" i="1"/>
  <c r="N288" i="1"/>
  <c r="O288" i="1" s="1"/>
  <c r="H288" i="1"/>
  <c r="AY287" i="1"/>
  <c r="AX287" i="1"/>
  <c r="AW287" i="1"/>
  <c r="AV287" i="1"/>
  <c r="AS287" i="1"/>
  <c r="AR287" i="1"/>
  <c r="N287" i="1"/>
  <c r="K287" i="1"/>
  <c r="L287" i="1" s="1"/>
  <c r="L293" i="1" s="1"/>
  <c r="H287" i="1"/>
  <c r="AF286" i="1"/>
  <c r="AF294" i="1" s="1"/>
  <c r="AE286" i="1"/>
  <c r="AD286" i="1"/>
  <c r="AC286" i="1"/>
  <c r="AC294" i="1" s="1"/>
  <c r="Z286" i="1"/>
  <c r="Y286" i="1"/>
  <c r="Y294" i="1" s="1"/>
  <c r="W286" i="1"/>
  <c r="M286" i="1"/>
  <c r="M294" i="1" s="1"/>
  <c r="L286" i="1"/>
  <c r="K286" i="1"/>
  <c r="J286" i="1"/>
  <c r="I286" i="1"/>
  <c r="AY285" i="1"/>
  <c r="AY286" i="1" s="1"/>
  <c r="AX285" i="1"/>
  <c r="AX286" i="1" s="1"/>
  <c r="AW285" i="1"/>
  <c r="AW286" i="1" s="1"/>
  <c r="AV285" i="1"/>
  <c r="AV286" i="1" s="1"/>
  <c r="AS285" i="1"/>
  <c r="AS286" i="1" s="1"/>
  <c r="AR285" i="1"/>
  <c r="AR286" i="1" s="1"/>
  <c r="N285" i="1"/>
  <c r="O285" i="1" s="1"/>
  <c r="O286" i="1" s="1"/>
  <c r="H285" i="1"/>
  <c r="AM279" i="1"/>
  <c r="E279" i="1"/>
  <c r="AF277" i="1"/>
  <c r="AE277" i="1"/>
  <c r="AD277" i="1"/>
  <c r="AC277" i="1"/>
  <c r="Z277" i="1"/>
  <c r="W277" i="1"/>
  <c r="M277" i="1"/>
  <c r="J277" i="1"/>
  <c r="I277" i="1"/>
  <c r="AY276" i="1"/>
  <c r="AX276" i="1"/>
  <c r="AW276" i="1"/>
  <c r="AV276" i="1"/>
  <c r="AS276" i="1"/>
  <c r="AR276" i="1"/>
  <c r="N276" i="1"/>
  <c r="O276" i="1" s="1"/>
  <c r="U276" i="1" s="1"/>
  <c r="H276" i="1"/>
  <c r="AY275" i="1"/>
  <c r="AX275" i="1"/>
  <c r="AW275" i="1"/>
  <c r="AV275" i="1"/>
  <c r="AS275" i="1"/>
  <c r="AR275" i="1"/>
  <c r="P275" i="1"/>
  <c r="O275" i="1"/>
  <c r="N275" i="1"/>
  <c r="H275" i="1"/>
  <c r="AY274" i="1"/>
  <c r="AX274" i="1"/>
  <c r="AW274" i="1"/>
  <c r="AV274" i="1"/>
  <c r="AS274" i="1"/>
  <c r="AR274" i="1"/>
  <c r="N274" i="1"/>
  <c r="O274" i="1" s="1"/>
  <c r="K274" i="1"/>
  <c r="L274" i="1" s="1"/>
  <c r="H274" i="1"/>
  <c r="AY273" i="1"/>
  <c r="AX273" i="1"/>
  <c r="AW273" i="1"/>
  <c r="AV273" i="1"/>
  <c r="AS273" i="1"/>
  <c r="AR273" i="1"/>
  <c r="N273" i="1"/>
  <c r="O273" i="1" s="1"/>
  <c r="H273" i="1"/>
  <c r="AY272" i="1"/>
  <c r="AX272" i="1"/>
  <c r="AW272" i="1"/>
  <c r="AV272" i="1"/>
  <c r="AS272" i="1"/>
  <c r="AR272" i="1"/>
  <c r="N272" i="1"/>
  <c r="O272" i="1" s="1"/>
  <c r="H272" i="1"/>
  <c r="AY271" i="1"/>
  <c r="AX271" i="1"/>
  <c r="AW271" i="1"/>
  <c r="AV271" i="1"/>
  <c r="AS271" i="1"/>
  <c r="AR271" i="1"/>
  <c r="O271" i="1"/>
  <c r="N271" i="1"/>
  <c r="H271" i="1"/>
  <c r="AY270" i="1"/>
  <c r="AX270" i="1"/>
  <c r="AW270" i="1"/>
  <c r="AV270" i="1"/>
  <c r="AS270" i="1"/>
  <c r="AR270" i="1"/>
  <c r="N270" i="1"/>
  <c r="O270" i="1" s="1"/>
  <c r="P270" i="1" s="1"/>
  <c r="S270" i="1" s="1"/>
  <c r="T270" i="1" s="1"/>
  <c r="H270" i="1"/>
  <c r="AY269" i="1"/>
  <c r="AX269" i="1"/>
  <c r="AW269" i="1"/>
  <c r="AV269" i="1"/>
  <c r="AS269" i="1"/>
  <c r="AR269" i="1"/>
  <c r="V269" i="1"/>
  <c r="U269" i="1"/>
  <c r="N269" i="1"/>
  <c r="O269" i="1" s="1"/>
  <c r="P269" i="1" s="1"/>
  <c r="R269" i="1" s="1"/>
  <c r="AP269" i="1" s="1"/>
  <c r="K269" i="1"/>
  <c r="L269" i="1" s="1"/>
  <c r="H269" i="1"/>
  <c r="AY268" i="1"/>
  <c r="AX268" i="1"/>
  <c r="AW268" i="1"/>
  <c r="AV268" i="1"/>
  <c r="AS268" i="1"/>
  <c r="AR268" i="1"/>
  <c r="N268" i="1"/>
  <c r="O268" i="1" s="1"/>
  <c r="K268" i="1"/>
  <c r="L268" i="1" s="1"/>
  <c r="H268" i="1"/>
  <c r="AY267" i="1"/>
  <c r="AX267" i="1"/>
  <c r="AW267" i="1"/>
  <c r="AV267" i="1"/>
  <c r="AS267" i="1"/>
  <c r="AR267" i="1"/>
  <c r="N267" i="1"/>
  <c r="O267" i="1" s="1"/>
  <c r="H267" i="1"/>
  <c r="AY266" i="1"/>
  <c r="AX266" i="1"/>
  <c r="AW266" i="1"/>
  <c r="AV266" i="1"/>
  <c r="AS266" i="1"/>
  <c r="AR266" i="1"/>
  <c r="N266" i="1"/>
  <c r="O266" i="1" s="1"/>
  <c r="K266" i="1"/>
  <c r="L266" i="1" s="1"/>
  <c r="H266" i="1"/>
  <c r="AY265" i="1"/>
  <c r="AX265" i="1"/>
  <c r="AW265" i="1"/>
  <c r="AV265" i="1"/>
  <c r="AS265" i="1"/>
  <c r="AR265" i="1"/>
  <c r="N265" i="1"/>
  <c r="O265" i="1" s="1"/>
  <c r="H265" i="1"/>
  <c r="AY264" i="1"/>
  <c r="AX264" i="1"/>
  <c r="AW264" i="1"/>
  <c r="AV264" i="1"/>
  <c r="AS264" i="1"/>
  <c r="AR264" i="1"/>
  <c r="S264" i="1"/>
  <c r="T264" i="1" s="1"/>
  <c r="N264" i="1"/>
  <c r="O264" i="1" s="1"/>
  <c r="P264" i="1" s="1"/>
  <c r="H264" i="1"/>
  <c r="AY263" i="1"/>
  <c r="AX263" i="1"/>
  <c r="AW263" i="1"/>
  <c r="AV263" i="1"/>
  <c r="AS263" i="1"/>
  <c r="AR263" i="1"/>
  <c r="N263" i="1"/>
  <c r="O263" i="1" s="1"/>
  <c r="U263" i="1" s="1"/>
  <c r="H263" i="1"/>
  <c r="AY262" i="1"/>
  <c r="AX262" i="1"/>
  <c r="AW262" i="1"/>
  <c r="AV262" i="1"/>
  <c r="AS262" i="1"/>
  <c r="AR262" i="1"/>
  <c r="O262" i="1"/>
  <c r="P262" i="1" s="1"/>
  <c r="N262" i="1"/>
  <c r="H262" i="1"/>
  <c r="AY261" i="1"/>
  <c r="AX261" i="1"/>
  <c r="AW261" i="1"/>
  <c r="AV261" i="1"/>
  <c r="AS261" i="1"/>
  <c r="AR261" i="1"/>
  <c r="N261" i="1"/>
  <c r="O261" i="1" s="1"/>
  <c r="K261" i="1"/>
  <c r="L261" i="1" s="1"/>
  <c r="H261" i="1"/>
  <c r="AY260" i="1"/>
  <c r="AX260" i="1"/>
  <c r="AW260" i="1"/>
  <c r="AV260" i="1"/>
  <c r="AS260" i="1"/>
  <c r="O260" i="1"/>
  <c r="P260" i="1" s="1"/>
  <c r="X260" i="1" s="1"/>
  <c r="AQ260" i="1" s="1"/>
  <c r="N260" i="1"/>
  <c r="H260" i="1"/>
  <c r="AY259" i="1"/>
  <c r="AX259" i="1"/>
  <c r="AW259" i="1"/>
  <c r="AV259" i="1"/>
  <c r="AS259" i="1"/>
  <c r="AR259" i="1"/>
  <c r="N259" i="1"/>
  <c r="O259" i="1" s="1"/>
  <c r="H259" i="1"/>
  <c r="AY258" i="1"/>
  <c r="AX258" i="1"/>
  <c r="AW258" i="1"/>
  <c r="AV258" i="1"/>
  <c r="AS258" i="1"/>
  <c r="AR258" i="1"/>
  <c r="N258" i="1"/>
  <c r="O258" i="1" s="1"/>
  <c r="U258" i="1" s="1"/>
  <c r="H258" i="1"/>
  <c r="AY257" i="1"/>
  <c r="AX257" i="1"/>
  <c r="AW257" i="1"/>
  <c r="AV257" i="1"/>
  <c r="AS257" i="1"/>
  <c r="AR257" i="1"/>
  <c r="N257" i="1"/>
  <c r="O257" i="1" s="1"/>
  <c r="H257" i="1"/>
  <c r="AY256" i="1"/>
  <c r="AX256" i="1"/>
  <c r="AW256" i="1"/>
  <c r="AV256" i="1"/>
  <c r="AS256" i="1"/>
  <c r="AR256" i="1"/>
  <c r="N256" i="1"/>
  <c r="O256" i="1" s="1"/>
  <c r="H256" i="1"/>
  <c r="AY255" i="1"/>
  <c r="AX255" i="1"/>
  <c r="AW255" i="1"/>
  <c r="AV255" i="1"/>
  <c r="AS255" i="1"/>
  <c r="AR255" i="1"/>
  <c r="N255" i="1"/>
  <c r="O255" i="1" s="1"/>
  <c r="P255" i="1" s="1"/>
  <c r="H255" i="1"/>
  <c r="AY254" i="1"/>
  <c r="AX254" i="1"/>
  <c r="AW254" i="1"/>
  <c r="AV254" i="1"/>
  <c r="AS254" i="1"/>
  <c r="AR254" i="1"/>
  <c r="N254" i="1"/>
  <c r="O254" i="1" s="1"/>
  <c r="U254" i="1" s="1"/>
  <c r="H254" i="1"/>
  <c r="AY253" i="1"/>
  <c r="AX253" i="1"/>
  <c r="AW253" i="1"/>
  <c r="AV253" i="1"/>
  <c r="AS253" i="1"/>
  <c r="AR253" i="1"/>
  <c r="N253" i="1"/>
  <c r="O253" i="1" s="1"/>
  <c r="AY252" i="1"/>
  <c r="AX252" i="1"/>
  <c r="AW252" i="1"/>
  <c r="AV252" i="1"/>
  <c r="AS252" i="1"/>
  <c r="AR252" i="1"/>
  <c r="N252" i="1"/>
  <c r="O252" i="1" s="1"/>
  <c r="P252" i="1" s="1"/>
  <c r="R252" i="1" s="1"/>
  <c r="AP252" i="1" s="1"/>
  <c r="H252" i="1"/>
  <c r="AY251" i="1"/>
  <c r="AX251" i="1"/>
  <c r="AW251" i="1"/>
  <c r="AV251" i="1"/>
  <c r="AS251" i="1"/>
  <c r="AR251" i="1"/>
  <c r="O251" i="1"/>
  <c r="P251" i="1" s="1"/>
  <c r="N251" i="1"/>
  <c r="H251" i="1"/>
  <c r="AY250" i="1"/>
  <c r="AX250" i="1"/>
  <c r="AW250" i="1"/>
  <c r="AV250" i="1"/>
  <c r="AS250" i="1"/>
  <c r="AR250" i="1"/>
  <c r="N250" i="1"/>
  <c r="O250" i="1" s="1"/>
  <c r="H250" i="1"/>
  <c r="AY249" i="1"/>
  <c r="AX249" i="1"/>
  <c r="AW249" i="1"/>
  <c r="AV249" i="1"/>
  <c r="AS249" i="1"/>
  <c r="AR249" i="1"/>
  <c r="N249" i="1"/>
  <c r="O249" i="1" s="1"/>
  <c r="K249" i="1"/>
  <c r="H249" i="1"/>
  <c r="AY248" i="1"/>
  <c r="AX248" i="1"/>
  <c r="AW248" i="1"/>
  <c r="AV248" i="1"/>
  <c r="AS248" i="1"/>
  <c r="AR248" i="1"/>
  <c r="N248" i="1"/>
  <c r="O248" i="1" s="1"/>
  <c r="H248" i="1"/>
  <c r="AY247" i="1"/>
  <c r="AX247" i="1"/>
  <c r="AW247" i="1"/>
  <c r="AV247" i="1"/>
  <c r="AS247" i="1"/>
  <c r="AR247" i="1"/>
  <c r="N247" i="1"/>
  <c r="O247" i="1" s="1"/>
  <c r="U247" i="1" s="1"/>
  <c r="H247" i="1"/>
  <c r="AY246" i="1"/>
  <c r="AX246" i="1"/>
  <c r="AW246" i="1"/>
  <c r="AV246" i="1"/>
  <c r="AS246" i="1"/>
  <c r="AR246" i="1"/>
  <c r="N246" i="1"/>
  <c r="O246" i="1" s="1"/>
  <c r="H246" i="1"/>
  <c r="AY245" i="1"/>
  <c r="AX245" i="1"/>
  <c r="AW245" i="1"/>
  <c r="AV245" i="1"/>
  <c r="AR245" i="1"/>
  <c r="S245" i="1"/>
  <c r="R245" i="1"/>
  <c r="AP245" i="1" s="1"/>
  <c r="N245" i="1"/>
  <c r="O245" i="1" s="1"/>
  <c r="P245" i="1" s="1"/>
  <c r="H245" i="1"/>
  <c r="AY244" i="1"/>
  <c r="AX244" i="1"/>
  <c r="AW244" i="1"/>
  <c r="AV244" i="1"/>
  <c r="AS244" i="1"/>
  <c r="AR244" i="1"/>
  <c r="N244" i="1"/>
  <c r="O244" i="1" s="1"/>
  <c r="H244" i="1"/>
  <c r="AY243" i="1"/>
  <c r="AX243" i="1"/>
  <c r="AW243" i="1"/>
  <c r="AV243" i="1"/>
  <c r="AS243" i="1"/>
  <c r="AR243" i="1"/>
  <c r="N243" i="1"/>
  <c r="O243" i="1" s="1"/>
  <c r="H243" i="1"/>
  <c r="V242" i="1"/>
  <c r="U242" i="1"/>
  <c r="P242" i="1"/>
  <c r="X242" i="1" s="1"/>
  <c r="AQ242" i="1" s="1"/>
  <c r="N242" i="1"/>
  <c r="H242" i="1"/>
  <c r="AY241" i="1"/>
  <c r="AX241" i="1"/>
  <c r="AW241" i="1"/>
  <c r="AV241" i="1"/>
  <c r="AS241" i="1"/>
  <c r="AR241" i="1"/>
  <c r="P241" i="1"/>
  <c r="Q241" i="1" s="1"/>
  <c r="AO241" i="1" s="1"/>
  <c r="N241" i="1"/>
  <c r="O241" i="1" s="1"/>
  <c r="H241" i="1"/>
  <c r="AY240" i="1"/>
  <c r="AX240" i="1"/>
  <c r="AW240" i="1"/>
  <c r="AV240" i="1"/>
  <c r="AS240" i="1"/>
  <c r="AR240" i="1"/>
  <c r="N240" i="1"/>
  <c r="O240" i="1" s="1"/>
  <c r="P240" i="1" s="1"/>
  <c r="H240" i="1"/>
  <c r="AY239" i="1"/>
  <c r="AX239" i="1"/>
  <c r="AW239" i="1"/>
  <c r="AV239" i="1"/>
  <c r="AS239" i="1"/>
  <c r="AR239" i="1"/>
  <c r="N239" i="1"/>
  <c r="O239" i="1" s="1"/>
  <c r="U239" i="1" s="1"/>
  <c r="H239" i="1"/>
  <c r="AY238" i="1"/>
  <c r="AX238" i="1"/>
  <c r="AW238" i="1"/>
  <c r="AV238" i="1"/>
  <c r="AS238" i="1"/>
  <c r="AR238" i="1"/>
  <c r="N238" i="1"/>
  <c r="O238" i="1" s="1"/>
  <c r="H238" i="1"/>
  <c r="AY237" i="1"/>
  <c r="AX237" i="1"/>
  <c r="AW237" i="1"/>
  <c r="AV237" i="1"/>
  <c r="AS237" i="1"/>
  <c r="AR237" i="1"/>
  <c r="N237" i="1"/>
  <c r="O237" i="1" s="1"/>
  <c r="P237" i="1" s="1"/>
  <c r="H237" i="1"/>
  <c r="AY236" i="1"/>
  <c r="AX236" i="1"/>
  <c r="AW236" i="1"/>
  <c r="AV236" i="1"/>
  <c r="AS236" i="1"/>
  <c r="AR236" i="1"/>
  <c r="S236" i="1"/>
  <c r="N236" i="1"/>
  <c r="O236" i="1" s="1"/>
  <c r="P236" i="1" s="1"/>
  <c r="R236" i="1" s="1"/>
  <c r="AP236" i="1" s="1"/>
  <c r="H236" i="1"/>
  <c r="AY235" i="1"/>
  <c r="AX235" i="1"/>
  <c r="AW235" i="1"/>
  <c r="AV235" i="1"/>
  <c r="AS235" i="1"/>
  <c r="AR235" i="1"/>
  <c r="N235" i="1"/>
  <c r="O235" i="1" s="1"/>
  <c r="H235" i="1"/>
  <c r="AY234" i="1"/>
  <c r="AX234" i="1"/>
  <c r="AW234" i="1"/>
  <c r="AV234" i="1"/>
  <c r="AS234" i="1"/>
  <c r="AR234" i="1"/>
  <c r="N234" i="1"/>
  <c r="O234" i="1" s="1"/>
  <c r="V234" i="1" s="1"/>
  <c r="H234" i="1"/>
  <c r="AY233" i="1"/>
  <c r="AX233" i="1"/>
  <c r="AW233" i="1"/>
  <c r="AV233" i="1"/>
  <c r="AS233" i="1"/>
  <c r="AR233" i="1"/>
  <c r="N233" i="1"/>
  <c r="O233" i="1" s="1"/>
  <c r="P233" i="1" s="1"/>
  <c r="H233" i="1"/>
  <c r="AY232" i="1"/>
  <c r="AX232" i="1"/>
  <c r="AW232" i="1"/>
  <c r="AV232" i="1"/>
  <c r="AS232" i="1"/>
  <c r="AR232" i="1"/>
  <c r="N232" i="1"/>
  <c r="O232" i="1" s="1"/>
  <c r="P232" i="1" s="1"/>
  <c r="H232" i="1"/>
  <c r="AY231" i="1"/>
  <c r="AX231" i="1"/>
  <c r="AW231" i="1"/>
  <c r="AV231" i="1"/>
  <c r="AS231" i="1"/>
  <c r="AR231" i="1"/>
  <c r="N231" i="1"/>
  <c r="O231" i="1" s="1"/>
  <c r="U231" i="1" s="1"/>
  <c r="H231" i="1"/>
  <c r="AY230" i="1"/>
  <c r="AX230" i="1"/>
  <c r="AW230" i="1"/>
  <c r="AV230" i="1"/>
  <c r="AS230" i="1"/>
  <c r="AR230" i="1"/>
  <c r="N230" i="1"/>
  <c r="O230" i="1" s="1"/>
  <c r="H230" i="1"/>
  <c r="AY229" i="1"/>
  <c r="AX229" i="1"/>
  <c r="AW229" i="1"/>
  <c r="AV229" i="1"/>
  <c r="AS229" i="1"/>
  <c r="AR229" i="1"/>
  <c r="N229" i="1"/>
  <c r="O229" i="1" s="1"/>
  <c r="P229" i="1" s="1"/>
  <c r="H229" i="1"/>
  <c r="AY228" i="1"/>
  <c r="AX228" i="1"/>
  <c r="AW228" i="1"/>
  <c r="AV228" i="1"/>
  <c r="AS228" i="1"/>
  <c r="AR228" i="1"/>
  <c r="N228" i="1"/>
  <c r="O228" i="1" s="1"/>
  <c r="P228" i="1" s="1"/>
  <c r="H228" i="1"/>
  <c r="AY227" i="1"/>
  <c r="AX227" i="1"/>
  <c r="AW227" i="1"/>
  <c r="AV227" i="1"/>
  <c r="AS227" i="1"/>
  <c r="AR227" i="1"/>
  <c r="N227" i="1"/>
  <c r="H227" i="1"/>
  <c r="AF226" i="1"/>
  <c r="AE226" i="1"/>
  <c r="AE278" i="1" s="1"/>
  <c r="AD226" i="1"/>
  <c r="AD278" i="1" s="1"/>
  <c r="AC226" i="1"/>
  <c r="AC278" i="1" s="1"/>
  <c r="Z226" i="1"/>
  <c r="Y226" i="1"/>
  <c r="W226" i="1"/>
  <c r="W278" i="1" s="1"/>
  <c r="M226" i="1"/>
  <c r="J226" i="1"/>
  <c r="I226" i="1"/>
  <c r="AY225" i="1"/>
  <c r="AX225" i="1"/>
  <c r="AW225" i="1"/>
  <c r="AV225" i="1"/>
  <c r="AS225" i="1"/>
  <c r="AR225" i="1"/>
  <c r="N225" i="1"/>
  <c r="O225" i="1" s="1"/>
  <c r="H225" i="1"/>
  <c r="AY224" i="1"/>
  <c r="AY226" i="1" s="1"/>
  <c r="AX224" i="1"/>
  <c r="AW224" i="1"/>
  <c r="AV224" i="1"/>
  <c r="AS224" i="1"/>
  <c r="AS226" i="1" s="1"/>
  <c r="AR224" i="1"/>
  <c r="AR226" i="1" s="1"/>
  <c r="N224" i="1"/>
  <c r="O224" i="1" s="1"/>
  <c r="K224" i="1"/>
  <c r="L224" i="1" s="1"/>
  <c r="L226" i="1" s="1"/>
  <c r="H224" i="1"/>
  <c r="AM219" i="1"/>
  <c r="E219" i="1"/>
  <c r="AF217" i="1"/>
  <c r="AE217" i="1"/>
  <c r="AD217" i="1"/>
  <c r="AC217" i="1"/>
  <c r="Z217" i="1"/>
  <c r="Y217" i="1"/>
  <c r="W217" i="1"/>
  <c r="M217" i="1"/>
  <c r="L217" i="1"/>
  <c r="K217" i="1"/>
  <c r="J217" i="1"/>
  <c r="I217" i="1"/>
  <c r="AY216" i="1"/>
  <c r="AY217" i="1" s="1"/>
  <c r="AX216" i="1"/>
  <c r="AX217" i="1" s="1"/>
  <c r="AW216" i="1"/>
  <c r="AW217" i="1" s="1"/>
  <c r="AV216" i="1"/>
  <c r="AV217" i="1" s="1"/>
  <c r="AS216" i="1"/>
  <c r="AS217" i="1" s="1"/>
  <c r="AR216" i="1"/>
  <c r="AR217" i="1" s="1"/>
  <c r="N216" i="1"/>
  <c r="O216" i="1" s="1"/>
  <c r="H216" i="1"/>
  <c r="AW215" i="1"/>
  <c r="AF215" i="1"/>
  <c r="AE215" i="1"/>
  <c r="AE218" i="1" s="1"/>
  <c r="AD215" i="1"/>
  <c r="AC215" i="1"/>
  <c r="Z215" i="1"/>
  <c r="Y215" i="1"/>
  <c r="Y218" i="1" s="1"/>
  <c r="W215" i="1"/>
  <c r="W218" i="1" s="1"/>
  <c r="M215" i="1"/>
  <c r="L215" i="1"/>
  <c r="K215" i="1"/>
  <c r="J215" i="1"/>
  <c r="I215" i="1"/>
  <c r="AY214" i="1"/>
  <c r="AY215" i="1" s="1"/>
  <c r="AX214" i="1"/>
  <c r="AX215" i="1" s="1"/>
  <c r="AX218" i="1" s="1"/>
  <c r="AW214" i="1"/>
  <c r="AV214" i="1"/>
  <c r="AV215" i="1" s="1"/>
  <c r="AS214" i="1"/>
  <c r="AS215" i="1" s="1"/>
  <c r="AR214" i="1"/>
  <c r="AR215" i="1" s="1"/>
  <c r="AR218" i="1" s="1"/>
  <c r="N214" i="1"/>
  <c r="H214" i="1"/>
  <c r="AM209" i="1"/>
  <c r="E209" i="1"/>
  <c r="AF207" i="1"/>
  <c r="AF208" i="1" s="1"/>
  <c r="AE207" i="1"/>
  <c r="AE208" i="1" s="1"/>
  <c r="AD207" i="1"/>
  <c r="AD208" i="1" s="1"/>
  <c r="AC207" i="1"/>
  <c r="AC208" i="1" s="1"/>
  <c r="Z207" i="1"/>
  <c r="Z208" i="1" s="1"/>
  <c r="Y207" i="1"/>
  <c r="Y208" i="1" s="1"/>
  <c r="W207" i="1"/>
  <c r="W208" i="1" s="1"/>
  <c r="M207" i="1"/>
  <c r="M208" i="1" s="1"/>
  <c r="L207" i="1"/>
  <c r="L208" i="1" s="1"/>
  <c r="K207" i="1"/>
  <c r="K208" i="1" s="1"/>
  <c r="J207" i="1"/>
  <c r="J208" i="1" s="1"/>
  <c r="I207" i="1"/>
  <c r="I208" i="1" s="1"/>
  <c r="AY206" i="1"/>
  <c r="AX206" i="1"/>
  <c r="AW206" i="1"/>
  <c r="AV206" i="1"/>
  <c r="AS206" i="1"/>
  <c r="AR206" i="1"/>
  <c r="N206" i="1"/>
  <c r="O206" i="1" s="1"/>
  <c r="H206" i="1"/>
  <c r="AY205" i="1"/>
  <c r="AX205" i="1"/>
  <c r="AW205" i="1"/>
  <c r="AV205" i="1"/>
  <c r="AS205" i="1"/>
  <c r="AR205" i="1"/>
  <c r="N205" i="1"/>
  <c r="O205" i="1" s="1"/>
  <c r="P205" i="1" s="1"/>
  <c r="H205" i="1"/>
  <c r="AY204" i="1"/>
  <c r="AX204" i="1"/>
  <c r="AW204" i="1"/>
  <c r="AV204" i="1"/>
  <c r="AS204" i="1"/>
  <c r="AR204" i="1"/>
  <c r="N204" i="1"/>
  <c r="O204" i="1" s="1"/>
  <c r="U204" i="1" s="1"/>
  <c r="H204" i="1"/>
  <c r="AY203" i="1"/>
  <c r="AX203" i="1"/>
  <c r="AW203" i="1"/>
  <c r="AV203" i="1"/>
  <c r="AS203" i="1"/>
  <c r="AR203" i="1"/>
  <c r="N203" i="1"/>
  <c r="O203" i="1" s="1"/>
  <c r="V203" i="1" s="1"/>
  <c r="H203" i="1"/>
  <c r="AY202" i="1"/>
  <c r="AX202" i="1"/>
  <c r="AW202" i="1"/>
  <c r="AV202" i="1"/>
  <c r="AS202" i="1"/>
  <c r="AR202" i="1"/>
  <c r="N202" i="1"/>
  <c r="O202" i="1" s="1"/>
  <c r="H202" i="1"/>
  <c r="AY201" i="1"/>
  <c r="AX201" i="1"/>
  <c r="AW201" i="1"/>
  <c r="AV201" i="1"/>
  <c r="AS201" i="1"/>
  <c r="AR201" i="1"/>
  <c r="N201" i="1"/>
  <c r="O201" i="1" s="1"/>
  <c r="H201" i="1"/>
  <c r="AY200" i="1"/>
  <c r="AX200" i="1"/>
  <c r="AW200" i="1"/>
  <c r="AV200" i="1"/>
  <c r="AS200" i="1"/>
  <c r="AR200" i="1"/>
  <c r="U200" i="1"/>
  <c r="N200" i="1"/>
  <c r="O200" i="1" s="1"/>
  <c r="H200" i="1"/>
  <c r="AY199" i="1"/>
  <c r="AX199" i="1"/>
  <c r="AW199" i="1"/>
  <c r="AV199" i="1"/>
  <c r="AS199" i="1"/>
  <c r="AR199" i="1"/>
  <c r="AR207" i="1" s="1"/>
  <c r="AR208" i="1" s="1"/>
  <c r="N199" i="1"/>
  <c r="H199" i="1"/>
  <c r="AM192" i="1"/>
  <c r="AM194" i="1" s="1"/>
  <c r="AF192" i="1"/>
  <c r="AE192" i="1"/>
  <c r="AD192" i="1"/>
  <c r="AC192" i="1"/>
  <c r="Z192" i="1"/>
  <c r="Y192" i="1"/>
  <c r="W192" i="1"/>
  <c r="M192" i="1"/>
  <c r="J192" i="1"/>
  <c r="I192" i="1"/>
  <c r="E192" i="1"/>
  <c r="E194" i="1" s="1"/>
  <c r="AY191" i="1"/>
  <c r="AX191" i="1"/>
  <c r="AW191" i="1"/>
  <c r="AV191" i="1"/>
  <c r="AS191" i="1"/>
  <c r="AR191" i="1"/>
  <c r="N191" i="1"/>
  <c r="O191" i="1" s="1"/>
  <c r="H191" i="1"/>
  <c r="AY190" i="1"/>
  <c r="AX190" i="1"/>
  <c r="AW190" i="1"/>
  <c r="AV190" i="1"/>
  <c r="AS190" i="1"/>
  <c r="AR190" i="1"/>
  <c r="N190" i="1"/>
  <c r="O190" i="1" s="1"/>
  <c r="K190" i="1"/>
  <c r="L190" i="1" s="1"/>
  <c r="L192" i="1" s="1"/>
  <c r="H190" i="1"/>
  <c r="AY189" i="1"/>
  <c r="AX189" i="1"/>
  <c r="AW189" i="1"/>
  <c r="AV189" i="1"/>
  <c r="AS189" i="1"/>
  <c r="AR189" i="1"/>
  <c r="N189" i="1"/>
  <c r="O189" i="1" s="1"/>
  <c r="H189" i="1"/>
  <c r="AY188" i="1"/>
  <c r="AX188" i="1"/>
  <c r="AW188" i="1"/>
  <c r="AV188" i="1"/>
  <c r="AS188" i="1"/>
  <c r="AR188" i="1"/>
  <c r="N188" i="1"/>
  <c r="O188" i="1" s="1"/>
  <c r="H188" i="1"/>
  <c r="AY187" i="1"/>
  <c r="AX187" i="1"/>
  <c r="AW187" i="1"/>
  <c r="AV187" i="1"/>
  <c r="AS187" i="1"/>
  <c r="AR187" i="1"/>
  <c r="N187" i="1"/>
  <c r="O187" i="1" s="1"/>
  <c r="V187" i="1" s="1"/>
  <c r="H187" i="1"/>
  <c r="AY186" i="1"/>
  <c r="AX186" i="1"/>
  <c r="AW186" i="1"/>
  <c r="AV186" i="1"/>
  <c r="AS186" i="1"/>
  <c r="AR186" i="1"/>
  <c r="V186" i="1"/>
  <c r="N186" i="1"/>
  <c r="O186" i="1" s="1"/>
  <c r="P186" i="1" s="1"/>
  <c r="R186" i="1" s="1"/>
  <c r="AP186" i="1" s="1"/>
  <c r="H186" i="1"/>
  <c r="AY185" i="1"/>
  <c r="AX185" i="1"/>
  <c r="AW185" i="1"/>
  <c r="AV185" i="1"/>
  <c r="AS185" i="1"/>
  <c r="AR185" i="1"/>
  <c r="N185" i="1"/>
  <c r="O185" i="1" s="1"/>
  <c r="P185" i="1" s="1"/>
  <c r="X185" i="1" s="1"/>
  <c r="AQ185" i="1" s="1"/>
  <c r="H185" i="1"/>
  <c r="AY184" i="1"/>
  <c r="AX184" i="1"/>
  <c r="AW184" i="1"/>
  <c r="AV184" i="1"/>
  <c r="AS184" i="1"/>
  <c r="AR184" i="1"/>
  <c r="N184" i="1"/>
  <c r="O184" i="1" s="1"/>
  <c r="V184" i="1" s="1"/>
  <c r="H184" i="1"/>
  <c r="AY183" i="1"/>
  <c r="AX183" i="1"/>
  <c r="AW183" i="1"/>
  <c r="AV183" i="1"/>
  <c r="AS183" i="1"/>
  <c r="AR183" i="1"/>
  <c r="N183" i="1"/>
  <c r="O183" i="1" s="1"/>
  <c r="H183" i="1"/>
  <c r="AY182" i="1"/>
  <c r="AX182" i="1"/>
  <c r="AW182" i="1"/>
  <c r="AV182" i="1"/>
  <c r="AS182" i="1"/>
  <c r="AR182" i="1"/>
  <c r="U182" i="1"/>
  <c r="N182" i="1"/>
  <c r="O182" i="1" s="1"/>
  <c r="P182" i="1" s="1"/>
  <c r="S182" i="1" s="1"/>
  <c r="H182" i="1"/>
  <c r="AY181" i="1"/>
  <c r="AX181" i="1"/>
  <c r="AW181" i="1"/>
  <c r="AV181" i="1"/>
  <c r="AS181" i="1"/>
  <c r="AR181" i="1"/>
  <c r="N181" i="1"/>
  <c r="O181" i="1" s="1"/>
  <c r="H181" i="1"/>
  <c r="AY180" i="1"/>
  <c r="AX180" i="1"/>
  <c r="AW180" i="1"/>
  <c r="AV180" i="1"/>
  <c r="AS180" i="1"/>
  <c r="AR180" i="1"/>
  <c r="N180" i="1"/>
  <c r="O180" i="1" s="1"/>
  <c r="V180" i="1" s="1"/>
  <c r="H180" i="1"/>
  <c r="AY179" i="1"/>
  <c r="AX179" i="1"/>
  <c r="AW179" i="1"/>
  <c r="AV179" i="1"/>
  <c r="AS179" i="1"/>
  <c r="AR179" i="1"/>
  <c r="N179" i="1"/>
  <c r="O179" i="1" s="1"/>
  <c r="H179" i="1"/>
  <c r="AY178" i="1"/>
  <c r="AX178" i="1"/>
  <c r="AW178" i="1"/>
  <c r="AV178" i="1"/>
  <c r="AS178" i="1"/>
  <c r="AR178" i="1"/>
  <c r="N178" i="1"/>
  <c r="O178" i="1" s="1"/>
  <c r="H178" i="1"/>
  <c r="AY177" i="1"/>
  <c r="AX177" i="1"/>
  <c r="AW177" i="1"/>
  <c r="AV177" i="1"/>
  <c r="AS177" i="1"/>
  <c r="AR177" i="1"/>
  <c r="P177" i="1"/>
  <c r="N177" i="1"/>
  <c r="O177" i="1" s="1"/>
  <c r="H177" i="1"/>
  <c r="AY176" i="1"/>
  <c r="AX176" i="1"/>
  <c r="AW176" i="1"/>
  <c r="AV176" i="1"/>
  <c r="AS176" i="1"/>
  <c r="AR176" i="1"/>
  <c r="N176" i="1"/>
  <c r="O176" i="1" s="1"/>
  <c r="H176" i="1"/>
  <c r="AY175" i="1"/>
  <c r="AX175" i="1"/>
  <c r="AW175" i="1"/>
  <c r="AV175" i="1"/>
  <c r="AS175" i="1"/>
  <c r="AR175" i="1"/>
  <c r="N175" i="1"/>
  <c r="O175" i="1" s="1"/>
  <c r="H175" i="1"/>
  <c r="AY174" i="1"/>
  <c r="AX174" i="1"/>
  <c r="AW174" i="1"/>
  <c r="AV174" i="1"/>
  <c r="AS174" i="1"/>
  <c r="AR174" i="1"/>
  <c r="O174" i="1"/>
  <c r="N174" i="1"/>
  <c r="H174" i="1"/>
  <c r="AY173" i="1"/>
  <c r="AX173" i="1"/>
  <c r="AW173" i="1"/>
  <c r="AV173" i="1"/>
  <c r="AS173" i="1"/>
  <c r="AR173" i="1"/>
  <c r="O173" i="1"/>
  <c r="P173" i="1" s="1"/>
  <c r="X173" i="1" s="1"/>
  <c r="AQ173" i="1" s="1"/>
  <c r="N173" i="1"/>
  <c r="H173" i="1"/>
  <c r="AY172" i="1"/>
  <c r="AX172" i="1"/>
  <c r="AW172" i="1"/>
  <c r="AV172" i="1"/>
  <c r="AS172" i="1"/>
  <c r="AR172" i="1"/>
  <c r="N172" i="1"/>
  <c r="O172" i="1" s="1"/>
  <c r="H172" i="1"/>
  <c r="AY171" i="1"/>
  <c r="AX171" i="1"/>
  <c r="AW171" i="1"/>
  <c r="AV171" i="1"/>
  <c r="AS171" i="1"/>
  <c r="AR171" i="1"/>
  <c r="P171" i="1"/>
  <c r="S171" i="1" s="1"/>
  <c r="N171" i="1"/>
  <c r="O171" i="1" s="1"/>
  <c r="H171" i="1"/>
  <c r="AY170" i="1"/>
  <c r="AX170" i="1"/>
  <c r="AW170" i="1"/>
  <c r="AV170" i="1"/>
  <c r="AS170" i="1"/>
  <c r="AR170" i="1"/>
  <c r="O170" i="1"/>
  <c r="P170" i="1" s="1"/>
  <c r="N170" i="1"/>
  <c r="H170" i="1"/>
  <c r="AY169" i="1"/>
  <c r="AX169" i="1"/>
  <c r="AW169" i="1"/>
  <c r="AV169" i="1"/>
  <c r="AS169" i="1"/>
  <c r="AR169" i="1"/>
  <c r="N169" i="1"/>
  <c r="O169" i="1" s="1"/>
  <c r="V169" i="1" s="1"/>
  <c r="AY168" i="1"/>
  <c r="AX168" i="1"/>
  <c r="AW168" i="1"/>
  <c r="AV168" i="1"/>
  <c r="AS168" i="1"/>
  <c r="AR168" i="1"/>
  <c r="N168" i="1"/>
  <c r="O168" i="1" s="1"/>
  <c r="H168" i="1"/>
  <c r="AY167" i="1"/>
  <c r="AX167" i="1"/>
  <c r="AW167" i="1"/>
  <c r="AV167" i="1"/>
  <c r="AS167" i="1"/>
  <c r="AR167" i="1"/>
  <c r="N167" i="1"/>
  <c r="O167" i="1" s="1"/>
  <c r="H167" i="1"/>
  <c r="AY166" i="1"/>
  <c r="AX166" i="1"/>
  <c r="AW166" i="1"/>
  <c r="AV166" i="1"/>
  <c r="AS166" i="1"/>
  <c r="AR166" i="1"/>
  <c r="N166" i="1"/>
  <c r="O166" i="1" s="1"/>
  <c r="H166" i="1"/>
  <c r="AY165" i="1"/>
  <c r="AX165" i="1"/>
  <c r="AW165" i="1"/>
  <c r="AV165" i="1"/>
  <c r="AS165" i="1"/>
  <c r="AR165" i="1"/>
  <c r="N165" i="1"/>
  <c r="O165" i="1" s="1"/>
  <c r="H165" i="1"/>
  <c r="AY164" i="1"/>
  <c r="AX164" i="1"/>
  <c r="AW164" i="1"/>
  <c r="AV164" i="1"/>
  <c r="AS164" i="1"/>
  <c r="AR164" i="1"/>
  <c r="N164" i="1"/>
  <c r="O164" i="1" s="1"/>
  <c r="V164" i="1" s="1"/>
  <c r="H164" i="1"/>
  <c r="AY163" i="1"/>
  <c r="AX163" i="1"/>
  <c r="AW163" i="1"/>
  <c r="AV163" i="1"/>
  <c r="AS163" i="1"/>
  <c r="AR163" i="1"/>
  <c r="N163" i="1"/>
  <c r="O163" i="1" s="1"/>
  <c r="P163" i="1" s="1"/>
  <c r="H163" i="1"/>
  <c r="AY162" i="1"/>
  <c r="AX162" i="1"/>
  <c r="AW162" i="1"/>
  <c r="AV162" i="1"/>
  <c r="AS162" i="1"/>
  <c r="AR162" i="1"/>
  <c r="N162" i="1"/>
  <c r="O162" i="1" s="1"/>
  <c r="H162" i="1"/>
  <c r="AY161" i="1"/>
  <c r="AX161" i="1"/>
  <c r="AW161" i="1"/>
  <c r="AV161" i="1"/>
  <c r="AS161" i="1"/>
  <c r="AR161" i="1"/>
  <c r="N161" i="1"/>
  <c r="O161" i="1" s="1"/>
  <c r="H161" i="1"/>
  <c r="AY160" i="1"/>
  <c r="AX160" i="1"/>
  <c r="AW160" i="1"/>
  <c r="AV160" i="1"/>
  <c r="AS160" i="1"/>
  <c r="AR160" i="1"/>
  <c r="N160" i="1"/>
  <c r="O160" i="1" s="1"/>
  <c r="H160" i="1"/>
  <c r="AY159" i="1"/>
  <c r="AX159" i="1"/>
  <c r="AW159" i="1"/>
  <c r="AV159" i="1"/>
  <c r="AS159" i="1"/>
  <c r="AR159" i="1"/>
  <c r="N159" i="1"/>
  <c r="O159" i="1" s="1"/>
  <c r="P159" i="1" s="1"/>
  <c r="R159" i="1" s="1"/>
  <c r="AP159" i="1" s="1"/>
  <c r="H159" i="1"/>
  <c r="AY158" i="1"/>
  <c r="AX158" i="1"/>
  <c r="AW158" i="1"/>
  <c r="AV158" i="1"/>
  <c r="AS158" i="1"/>
  <c r="AR158" i="1"/>
  <c r="N158" i="1"/>
  <c r="H158" i="1"/>
  <c r="AF157" i="1"/>
  <c r="AF193" i="1" s="1"/>
  <c r="AE157" i="1"/>
  <c r="AE193" i="1" s="1"/>
  <c r="AD157" i="1"/>
  <c r="AC157" i="1"/>
  <c r="Z157" i="1"/>
  <c r="Y157" i="1"/>
  <c r="Y193" i="1" s="1"/>
  <c r="W157" i="1"/>
  <c r="M157" i="1"/>
  <c r="J157" i="1"/>
  <c r="J193" i="1" s="1"/>
  <c r="I157" i="1"/>
  <c r="I193" i="1" s="1"/>
  <c r="AY156" i="1"/>
  <c r="AX156" i="1"/>
  <c r="AW156" i="1"/>
  <c r="AV156" i="1"/>
  <c r="AS156" i="1"/>
  <c r="AR156" i="1"/>
  <c r="O156" i="1"/>
  <c r="V156" i="1" s="1"/>
  <c r="N156" i="1"/>
  <c r="H156" i="1"/>
  <c r="AY155" i="1"/>
  <c r="AX155" i="1"/>
  <c r="AW155" i="1"/>
  <c r="AV155" i="1"/>
  <c r="AS155" i="1"/>
  <c r="AR155" i="1"/>
  <c r="N155" i="1"/>
  <c r="O155" i="1" s="1"/>
  <c r="P155" i="1" s="1"/>
  <c r="S155" i="1" s="1"/>
  <c r="H155" i="1"/>
  <c r="AY154" i="1"/>
  <c r="AX154" i="1"/>
  <c r="AW154" i="1"/>
  <c r="AV154" i="1"/>
  <c r="AS154" i="1"/>
  <c r="AR154" i="1"/>
  <c r="N154" i="1"/>
  <c r="O154" i="1" s="1"/>
  <c r="H154" i="1"/>
  <c r="AY153" i="1"/>
  <c r="AX153" i="1"/>
  <c r="AW153" i="1"/>
  <c r="AV153" i="1"/>
  <c r="AS153" i="1"/>
  <c r="AR153" i="1"/>
  <c r="V153" i="1"/>
  <c r="N153" i="1"/>
  <c r="O153" i="1" s="1"/>
  <c r="H153" i="1"/>
  <c r="AY152" i="1"/>
  <c r="AX152" i="1"/>
  <c r="AW152" i="1"/>
  <c r="AV152" i="1"/>
  <c r="AS152" i="1"/>
  <c r="AR152" i="1"/>
  <c r="O152" i="1"/>
  <c r="P152" i="1" s="1"/>
  <c r="N152" i="1"/>
  <c r="H152" i="1"/>
  <c r="AY151" i="1"/>
  <c r="AX151" i="1"/>
  <c r="AW151" i="1"/>
  <c r="AV151" i="1"/>
  <c r="AS151" i="1"/>
  <c r="AR151" i="1"/>
  <c r="N151" i="1"/>
  <c r="O151" i="1" s="1"/>
  <c r="L151" i="1"/>
  <c r="L157" i="1" s="1"/>
  <c r="L193" i="1" s="1"/>
  <c r="K151" i="1"/>
  <c r="K157" i="1" s="1"/>
  <c r="H151" i="1"/>
  <c r="AY150" i="1"/>
  <c r="AX150" i="1"/>
  <c r="AW150" i="1"/>
  <c r="AV150" i="1"/>
  <c r="AS150" i="1"/>
  <c r="AR150" i="1"/>
  <c r="N150" i="1"/>
  <c r="O150" i="1" s="1"/>
  <c r="H150" i="1"/>
  <c r="AY149" i="1"/>
  <c r="AX149" i="1"/>
  <c r="AW149" i="1"/>
  <c r="AV149" i="1"/>
  <c r="AS149" i="1"/>
  <c r="AR149" i="1"/>
  <c r="N149" i="1"/>
  <c r="O149" i="1" s="1"/>
  <c r="H149" i="1"/>
  <c r="AY148" i="1"/>
  <c r="AX148" i="1"/>
  <c r="AW148" i="1"/>
  <c r="AV148" i="1"/>
  <c r="AS148" i="1"/>
  <c r="AR148" i="1"/>
  <c r="N148" i="1"/>
  <c r="O148" i="1" s="1"/>
  <c r="H148" i="1"/>
  <c r="AY147" i="1"/>
  <c r="AX147" i="1"/>
  <c r="AW147" i="1"/>
  <c r="AV147" i="1"/>
  <c r="AS147" i="1"/>
  <c r="AR147" i="1"/>
  <c r="O147" i="1"/>
  <c r="V147" i="1" s="1"/>
  <c r="N147" i="1"/>
  <c r="H147" i="1"/>
  <c r="AY146" i="1"/>
  <c r="AX146" i="1"/>
  <c r="AW146" i="1"/>
  <c r="AV146" i="1"/>
  <c r="AS146" i="1"/>
  <c r="AR146" i="1"/>
  <c r="N146" i="1"/>
  <c r="O146" i="1" s="1"/>
  <c r="H146" i="1"/>
  <c r="AY145" i="1"/>
  <c r="AX145" i="1"/>
  <c r="AW145" i="1"/>
  <c r="AV145" i="1"/>
  <c r="AS145" i="1"/>
  <c r="AR145" i="1"/>
  <c r="N145" i="1"/>
  <c r="O145" i="1" s="1"/>
  <c r="H145" i="1"/>
  <c r="AY144" i="1"/>
  <c r="AX144" i="1"/>
  <c r="AW144" i="1"/>
  <c r="AV144" i="1"/>
  <c r="AS144" i="1"/>
  <c r="AR144" i="1"/>
  <c r="N144" i="1"/>
  <c r="O144" i="1" s="1"/>
  <c r="P144" i="1" s="1"/>
  <c r="H144" i="1"/>
  <c r="AY143" i="1"/>
  <c r="AX143" i="1"/>
  <c r="AW143" i="1"/>
  <c r="AV143" i="1"/>
  <c r="AS143" i="1"/>
  <c r="AR143" i="1"/>
  <c r="N143" i="1"/>
  <c r="O143" i="1" s="1"/>
  <c r="H143" i="1"/>
  <c r="AY142" i="1"/>
  <c r="AX142" i="1"/>
  <c r="AW142" i="1"/>
  <c r="AV142" i="1"/>
  <c r="AS142" i="1"/>
  <c r="AR142" i="1"/>
  <c r="N142" i="1"/>
  <c r="O142" i="1" s="1"/>
  <c r="H142" i="1"/>
  <c r="AY141" i="1"/>
  <c r="AX141" i="1"/>
  <c r="AW141" i="1"/>
  <c r="AV141" i="1"/>
  <c r="AS141" i="1"/>
  <c r="AR141" i="1"/>
  <c r="N141" i="1"/>
  <c r="O141" i="1" s="1"/>
  <c r="H141" i="1"/>
  <c r="AY140" i="1"/>
  <c r="AX140" i="1"/>
  <c r="AW140" i="1"/>
  <c r="AV140" i="1"/>
  <c r="AS140" i="1"/>
  <c r="AR140" i="1"/>
  <c r="O140" i="1"/>
  <c r="P140" i="1" s="1"/>
  <c r="X140" i="1" s="1"/>
  <c r="AQ140" i="1" s="1"/>
  <c r="N140" i="1"/>
  <c r="H140" i="1"/>
  <c r="AM135" i="1"/>
  <c r="E135" i="1"/>
  <c r="AF133" i="1"/>
  <c r="AE133" i="1"/>
  <c r="AD133" i="1"/>
  <c r="AC133" i="1"/>
  <c r="AC134" i="1" s="1"/>
  <c r="Z133" i="1"/>
  <c r="Y133" i="1"/>
  <c r="W133" i="1"/>
  <c r="M133" i="1"/>
  <c r="J133" i="1"/>
  <c r="I133" i="1"/>
  <c r="AY132" i="1"/>
  <c r="AX132" i="1"/>
  <c r="AW132" i="1"/>
  <c r="AV132" i="1"/>
  <c r="AS132" i="1"/>
  <c r="AR132" i="1"/>
  <c r="N132" i="1"/>
  <c r="O132" i="1" s="1"/>
  <c r="H132" i="1"/>
  <c r="AY131" i="1"/>
  <c r="AX131" i="1"/>
  <c r="AW131" i="1"/>
  <c r="AV131" i="1"/>
  <c r="AS131" i="1"/>
  <c r="AR131" i="1"/>
  <c r="N131" i="1"/>
  <c r="O131" i="1" s="1"/>
  <c r="H131" i="1"/>
  <c r="AY130" i="1"/>
  <c r="AX130" i="1"/>
  <c r="AW130" i="1"/>
  <c r="AV130" i="1"/>
  <c r="AS130" i="1"/>
  <c r="AR130" i="1"/>
  <c r="O130" i="1"/>
  <c r="N130" i="1"/>
  <c r="H130" i="1"/>
  <c r="AY129" i="1"/>
  <c r="AX129" i="1"/>
  <c r="AW129" i="1"/>
  <c r="AV129" i="1"/>
  <c r="AS129" i="1"/>
  <c r="AR129" i="1"/>
  <c r="N129" i="1"/>
  <c r="O129" i="1" s="1"/>
  <c r="P129" i="1" s="1"/>
  <c r="K129" i="1"/>
  <c r="L129" i="1" s="1"/>
  <c r="H129" i="1"/>
  <c r="AY128" i="1"/>
  <c r="AX128" i="1"/>
  <c r="AW128" i="1"/>
  <c r="AV128" i="1"/>
  <c r="AS128" i="1"/>
  <c r="AR128" i="1"/>
  <c r="N128" i="1"/>
  <c r="O128" i="1" s="1"/>
  <c r="H128" i="1"/>
  <c r="AY127" i="1"/>
  <c r="AX127" i="1"/>
  <c r="AW127" i="1"/>
  <c r="AV127" i="1"/>
  <c r="AS127" i="1"/>
  <c r="AR127" i="1"/>
  <c r="N127" i="1"/>
  <c r="O127" i="1" s="1"/>
  <c r="H127" i="1"/>
  <c r="AY126" i="1"/>
  <c r="AX126" i="1"/>
  <c r="AW126" i="1"/>
  <c r="AV126" i="1"/>
  <c r="AS126" i="1"/>
  <c r="AR126" i="1"/>
  <c r="N126" i="1"/>
  <c r="O126" i="1" s="1"/>
  <c r="H126" i="1"/>
  <c r="AY125" i="1"/>
  <c r="AX125" i="1"/>
  <c r="AW125" i="1"/>
  <c r="AV125" i="1"/>
  <c r="AS125" i="1"/>
  <c r="AR125" i="1"/>
  <c r="N125" i="1"/>
  <c r="O125" i="1" s="1"/>
  <c r="P125" i="1" s="1"/>
  <c r="H125" i="1"/>
  <c r="AY124" i="1"/>
  <c r="AX124" i="1"/>
  <c r="AW124" i="1"/>
  <c r="AV124" i="1"/>
  <c r="AS124" i="1"/>
  <c r="AR124" i="1"/>
  <c r="N124" i="1"/>
  <c r="O124" i="1" s="1"/>
  <c r="H124" i="1"/>
  <c r="AY123" i="1"/>
  <c r="AX123" i="1"/>
  <c r="AW123" i="1"/>
  <c r="AV123" i="1"/>
  <c r="AS123" i="1"/>
  <c r="AR123" i="1"/>
  <c r="N123" i="1"/>
  <c r="O123" i="1" s="1"/>
  <c r="H123" i="1"/>
  <c r="AY122" i="1"/>
  <c r="AX122" i="1"/>
  <c r="AW122" i="1"/>
  <c r="AV122" i="1"/>
  <c r="AS122" i="1"/>
  <c r="AR122" i="1"/>
  <c r="N122" i="1"/>
  <c r="O122" i="1" s="1"/>
  <c r="P122" i="1" s="1"/>
  <c r="H122" i="1"/>
  <c r="AY121" i="1"/>
  <c r="AX121" i="1"/>
  <c r="AW121" i="1"/>
  <c r="AV121" i="1"/>
  <c r="AS121" i="1"/>
  <c r="AR121" i="1"/>
  <c r="N121" i="1"/>
  <c r="O121" i="1" s="1"/>
  <c r="H121" i="1"/>
  <c r="AY120" i="1"/>
  <c r="AX120" i="1"/>
  <c r="AW120" i="1"/>
  <c r="AV120" i="1"/>
  <c r="AS120" i="1"/>
  <c r="AR120" i="1"/>
  <c r="N120" i="1"/>
  <c r="O120" i="1" s="1"/>
  <c r="H120" i="1"/>
  <c r="AY119" i="1"/>
  <c r="AX119" i="1"/>
  <c r="AW119" i="1"/>
  <c r="AV119" i="1"/>
  <c r="AS119" i="1"/>
  <c r="AR119" i="1"/>
  <c r="N119" i="1"/>
  <c r="O119" i="1" s="1"/>
  <c r="H119" i="1"/>
  <c r="AY118" i="1"/>
  <c r="AX118" i="1"/>
  <c r="AW118" i="1"/>
  <c r="AV118" i="1"/>
  <c r="AS118" i="1"/>
  <c r="AR118" i="1"/>
  <c r="V118" i="1"/>
  <c r="N118" i="1"/>
  <c r="O118" i="1" s="1"/>
  <c r="P118" i="1" s="1"/>
  <c r="H118" i="1"/>
  <c r="AY117" i="1"/>
  <c r="AX117" i="1"/>
  <c r="AW117" i="1"/>
  <c r="AV117" i="1"/>
  <c r="AS117" i="1"/>
  <c r="AR117" i="1"/>
  <c r="O117" i="1"/>
  <c r="P117" i="1" s="1"/>
  <c r="X117" i="1" s="1"/>
  <c r="AQ117" i="1" s="1"/>
  <c r="N117" i="1"/>
  <c r="H117" i="1"/>
  <c r="AY116" i="1"/>
  <c r="AX116" i="1"/>
  <c r="AW116" i="1"/>
  <c r="AV116" i="1"/>
  <c r="AS116" i="1"/>
  <c r="AR116" i="1"/>
  <c r="N116" i="1"/>
  <c r="O116" i="1" s="1"/>
  <c r="H116" i="1"/>
  <c r="AY115" i="1"/>
  <c r="AX115" i="1"/>
  <c r="AW115" i="1"/>
  <c r="AV115" i="1"/>
  <c r="AS115" i="1"/>
  <c r="AR115" i="1"/>
  <c r="N115" i="1"/>
  <c r="O115" i="1" s="1"/>
  <c r="K115" i="1"/>
  <c r="L115" i="1" s="1"/>
  <c r="H115" i="1"/>
  <c r="AY114" i="1"/>
  <c r="AX114" i="1"/>
  <c r="AW114" i="1"/>
  <c r="AV114" i="1"/>
  <c r="AS114" i="1"/>
  <c r="AR114" i="1"/>
  <c r="O114" i="1"/>
  <c r="P114" i="1" s="1"/>
  <c r="X114" i="1" s="1"/>
  <c r="AQ114" i="1" s="1"/>
  <c r="N114" i="1"/>
  <c r="K114" i="1"/>
  <c r="L114" i="1" s="1"/>
  <c r="H114" i="1"/>
  <c r="AY113" i="1"/>
  <c r="AX113" i="1"/>
  <c r="AW113" i="1"/>
  <c r="AV113" i="1"/>
  <c r="AS113" i="1"/>
  <c r="AR113" i="1"/>
  <c r="N113" i="1"/>
  <c r="O113" i="1" s="1"/>
  <c r="K113" i="1"/>
  <c r="H113" i="1"/>
  <c r="AY112" i="1"/>
  <c r="AX112" i="1"/>
  <c r="AW112" i="1"/>
  <c r="AV112" i="1"/>
  <c r="AS112" i="1"/>
  <c r="AR112" i="1"/>
  <c r="N112" i="1"/>
  <c r="O112" i="1" s="1"/>
  <c r="P112" i="1" s="1"/>
  <c r="H112" i="1"/>
  <c r="AY111" i="1"/>
  <c r="AX111" i="1"/>
  <c r="AW111" i="1"/>
  <c r="AV111" i="1"/>
  <c r="AS111" i="1"/>
  <c r="AR111" i="1"/>
  <c r="N111" i="1"/>
  <c r="O111" i="1" s="1"/>
  <c r="H111" i="1"/>
  <c r="AY110" i="1"/>
  <c r="AX110" i="1"/>
  <c r="AW110" i="1"/>
  <c r="AV110" i="1"/>
  <c r="AS110" i="1"/>
  <c r="AR110" i="1"/>
  <c r="N110" i="1"/>
  <c r="O110" i="1" s="1"/>
  <c r="H110" i="1"/>
  <c r="AY109" i="1"/>
  <c r="AX109" i="1"/>
  <c r="AW109" i="1"/>
  <c r="AV109" i="1"/>
  <c r="AS109" i="1"/>
  <c r="AR109" i="1"/>
  <c r="N109" i="1"/>
  <c r="O109" i="1" s="1"/>
  <c r="AY108" i="1"/>
  <c r="AX108" i="1"/>
  <c r="AW108" i="1"/>
  <c r="AV108" i="1"/>
  <c r="AS108" i="1"/>
  <c r="AR108" i="1"/>
  <c r="N108" i="1"/>
  <c r="O108" i="1" s="1"/>
  <c r="H108" i="1"/>
  <c r="AY107" i="1"/>
  <c r="AX107" i="1"/>
  <c r="AW107" i="1"/>
  <c r="AV107" i="1"/>
  <c r="AS107" i="1"/>
  <c r="AR107" i="1"/>
  <c r="N107" i="1"/>
  <c r="O107" i="1" s="1"/>
  <c r="H107" i="1"/>
  <c r="AF106" i="1"/>
  <c r="AE106" i="1"/>
  <c r="AE134" i="1" s="1"/>
  <c r="AD106" i="1"/>
  <c r="AC106" i="1"/>
  <c r="Z106" i="1"/>
  <c r="Y106" i="1"/>
  <c r="W106" i="1"/>
  <c r="W134" i="1" s="1"/>
  <c r="M106" i="1"/>
  <c r="J106" i="1"/>
  <c r="I106" i="1"/>
  <c r="AY105" i="1"/>
  <c r="AX105" i="1"/>
  <c r="AW105" i="1"/>
  <c r="AV105" i="1"/>
  <c r="AS105" i="1"/>
  <c r="AR105" i="1"/>
  <c r="AQ105" i="1"/>
  <c r="O105" i="1"/>
  <c r="V105" i="1" s="1"/>
  <c r="N105" i="1"/>
  <c r="H105" i="1"/>
  <c r="AY104" i="1"/>
  <c r="AX104" i="1"/>
  <c r="AW104" i="1"/>
  <c r="AV104" i="1"/>
  <c r="AS104" i="1"/>
  <c r="AR104" i="1"/>
  <c r="N104" i="1"/>
  <c r="O104" i="1" s="1"/>
  <c r="H104" i="1"/>
  <c r="AY103" i="1"/>
  <c r="AX103" i="1"/>
  <c r="AW103" i="1"/>
  <c r="AV103" i="1"/>
  <c r="AS103" i="1"/>
  <c r="AR103" i="1"/>
  <c r="N103" i="1"/>
  <c r="O103" i="1" s="1"/>
  <c r="P103" i="1" s="1"/>
  <c r="H103" i="1"/>
  <c r="AY102" i="1"/>
  <c r="AX102" i="1"/>
  <c r="AW102" i="1"/>
  <c r="AV102" i="1"/>
  <c r="AS102" i="1"/>
  <c r="AR102" i="1"/>
  <c r="N102" i="1"/>
  <c r="O102" i="1" s="1"/>
  <c r="K102" i="1"/>
  <c r="L102" i="1" s="1"/>
  <c r="AY101" i="1"/>
  <c r="AX101" i="1"/>
  <c r="AW101" i="1"/>
  <c r="AV101" i="1"/>
  <c r="AS101" i="1"/>
  <c r="AR101" i="1"/>
  <c r="AQ101" i="1"/>
  <c r="N101" i="1"/>
  <c r="O101" i="1" s="1"/>
  <c r="V101" i="1" s="1"/>
  <c r="K101" i="1"/>
  <c r="L101" i="1" s="1"/>
  <c r="H101" i="1"/>
  <c r="AY100" i="1"/>
  <c r="AX100" i="1"/>
  <c r="AW100" i="1"/>
  <c r="AV100" i="1"/>
  <c r="AS100" i="1"/>
  <c r="AR100" i="1"/>
  <c r="N100" i="1"/>
  <c r="O100" i="1" s="1"/>
  <c r="P100" i="1" s="1"/>
  <c r="AY99" i="1"/>
  <c r="AX99" i="1"/>
  <c r="AW99" i="1"/>
  <c r="AV99" i="1"/>
  <c r="AS99" i="1"/>
  <c r="AR99" i="1"/>
  <c r="N99" i="1"/>
  <c r="O99" i="1" s="1"/>
  <c r="AY98" i="1"/>
  <c r="AX98" i="1"/>
  <c r="AW98" i="1"/>
  <c r="AV98" i="1"/>
  <c r="AS98" i="1"/>
  <c r="AR98" i="1"/>
  <c r="AQ98" i="1"/>
  <c r="N98" i="1"/>
  <c r="O98" i="1" s="1"/>
  <c r="H98" i="1"/>
  <c r="AY97" i="1"/>
  <c r="AX97" i="1"/>
  <c r="AW97" i="1"/>
  <c r="AV97" i="1"/>
  <c r="AS97" i="1"/>
  <c r="AR97" i="1"/>
  <c r="N97" i="1"/>
  <c r="O97" i="1" s="1"/>
  <c r="P97" i="1" s="1"/>
  <c r="AY96" i="1"/>
  <c r="AX96" i="1"/>
  <c r="AW96" i="1"/>
  <c r="AV96" i="1"/>
  <c r="AS96" i="1"/>
  <c r="AR96" i="1"/>
  <c r="N96" i="1"/>
  <c r="O96" i="1" s="1"/>
  <c r="AY95" i="1"/>
  <c r="AX95" i="1"/>
  <c r="AW95" i="1"/>
  <c r="AV95" i="1"/>
  <c r="AS95" i="1"/>
  <c r="AR95" i="1"/>
  <c r="N95" i="1"/>
  <c r="O95" i="1" s="1"/>
  <c r="P95" i="1" s="1"/>
  <c r="X95" i="1" s="1"/>
  <c r="AQ95" i="1" s="1"/>
  <c r="H95" i="1"/>
  <c r="AY94" i="1"/>
  <c r="AX94" i="1"/>
  <c r="AW94" i="1"/>
  <c r="AV94" i="1"/>
  <c r="AS94" i="1"/>
  <c r="AR94" i="1"/>
  <c r="N94" i="1"/>
  <c r="O94" i="1" s="1"/>
  <c r="H94" i="1"/>
  <c r="AY93" i="1"/>
  <c r="AX93" i="1"/>
  <c r="AW93" i="1"/>
  <c r="AV93" i="1"/>
  <c r="AS93" i="1"/>
  <c r="AR93" i="1"/>
  <c r="N93" i="1"/>
  <c r="O93" i="1" s="1"/>
  <c r="AY92" i="1"/>
  <c r="AX92" i="1"/>
  <c r="AW92" i="1"/>
  <c r="AV92" i="1"/>
  <c r="AS92" i="1"/>
  <c r="AR92" i="1"/>
  <c r="N92" i="1"/>
  <c r="O92" i="1" s="1"/>
  <c r="H92" i="1"/>
  <c r="AY91" i="1"/>
  <c r="AX91" i="1"/>
  <c r="AW91" i="1"/>
  <c r="AV91" i="1"/>
  <c r="AS91" i="1"/>
  <c r="AR91" i="1"/>
  <c r="N91" i="1"/>
  <c r="O91" i="1" s="1"/>
  <c r="V91" i="1" s="1"/>
  <c r="AY90" i="1"/>
  <c r="AX90" i="1"/>
  <c r="AW90" i="1"/>
  <c r="AV90" i="1"/>
  <c r="AS90" i="1"/>
  <c r="AR90" i="1"/>
  <c r="N90" i="1"/>
  <c r="O90" i="1" s="1"/>
  <c r="P90" i="1" s="1"/>
  <c r="H90" i="1"/>
  <c r="AY89" i="1"/>
  <c r="AX89" i="1"/>
  <c r="AW89" i="1"/>
  <c r="AV89" i="1"/>
  <c r="AS89" i="1"/>
  <c r="AR89" i="1"/>
  <c r="N89" i="1"/>
  <c r="O89" i="1" s="1"/>
  <c r="H89" i="1"/>
  <c r="AM84" i="1"/>
  <c r="E84" i="1"/>
  <c r="AE82" i="1"/>
  <c r="AE83" i="1" s="1"/>
  <c r="AD82" i="1"/>
  <c r="AD83" i="1" s="1"/>
  <c r="AC82" i="1"/>
  <c r="AC83" i="1" s="1"/>
  <c r="Z82" i="1"/>
  <c r="Z83" i="1" s="1"/>
  <c r="Y82" i="1"/>
  <c r="Y83" i="1" s="1"/>
  <c r="W82" i="1"/>
  <c r="W83" i="1" s="1"/>
  <c r="M82" i="1"/>
  <c r="M83" i="1" s="1"/>
  <c r="L82" i="1"/>
  <c r="L83" i="1" s="1"/>
  <c r="K82" i="1"/>
  <c r="K83" i="1" s="1"/>
  <c r="J82" i="1"/>
  <c r="J83" i="1" s="1"/>
  <c r="I82" i="1"/>
  <c r="I83" i="1" s="1"/>
  <c r="AX81" i="1"/>
  <c r="AW81" i="1"/>
  <c r="AV81" i="1"/>
  <c r="AU81" i="1"/>
  <c r="AS81" i="1"/>
  <c r="AR81" i="1"/>
  <c r="N81" i="1"/>
  <c r="O81" i="1" s="1"/>
  <c r="P81" i="1" s="1"/>
  <c r="H81" i="1"/>
  <c r="AY80" i="1"/>
  <c r="AX80" i="1"/>
  <c r="AW80" i="1"/>
  <c r="AV80" i="1"/>
  <c r="AS80" i="1"/>
  <c r="AS82" i="1" s="1"/>
  <c r="AS83" i="1" s="1"/>
  <c r="AR80" i="1"/>
  <c r="N80" i="1"/>
  <c r="N82" i="1" s="1"/>
  <c r="N83" i="1" s="1"/>
  <c r="H80" i="1"/>
  <c r="AM75" i="1"/>
  <c r="E75" i="1"/>
  <c r="AF73" i="1"/>
  <c r="AE73" i="1"/>
  <c r="AD73" i="1"/>
  <c r="AC73" i="1"/>
  <c r="Z73" i="1"/>
  <c r="Y73" i="1"/>
  <c r="W73" i="1"/>
  <c r="M73" i="1"/>
  <c r="J73" i="1"/>
  <c r="I73" i="1"/>
  <c r="AY72" i="1"/>
  <c r="AX72" i="1"/>
  <c r="AW72" i="1"/>
  <c r="AV72" i="1"/>
  <c r="AS72" i="1"/>
  <c r="AR72" i="1"/>
  <c r="N72" i="1"/>
  <c r="O72" i="1" s="1"/>
  <c r="P72" i="1" s="1"/>
  <c r="L72" i="1"/>
  <c r="L73" i="1" s="1"/>
  <c r="K72" i="1"/>
  <c r="K73" i="1" s="1"/>
  <c r="H72" i="1"/>
  <c r="AY71" i="1"/>
  <c r="AX71" i="1"/>
  <c r="AW71" i="1"/>
  <c r="AV71" i="1"/>
  <c r="AS71" i="1"/>
  <c r="AR71" i="1"/>
  <c r="N71" i="1"/>
  <c r="O71" i="1" s="1"/>
  <c r="H71" i="1"/>
  <c r="AY70" i="1"/>
  <c r="AX70" i="1"/>
  <c r="AW70" i="1"/>
  <c r="AV70" i="1"/>
  <c r="AS70" i="1"/>
  <c r="AR70" i="1"/>
  <c r="N70" i="1"/>
  <c r="O70" i="1" s="1"/>
  <c r="H70" i="1"/>
  <c r="AY69" i="1"/>
  <c r="AX69" i="1"/>
  <c r="AW69" i="1"/>
  <c r="AV69" i="1"/>
  <c r="AS69" i="1"/>
  <c r="AR69" i="1"/>
  <c r="N69" i="1"/>
  <c r="O69" i="1" s="1"/>
  <c r="P69" i="1" s="1"/>
  <c r="H69" i="1"/>
  <c r="AY68" i="1"/>
  <c r="AX68" i="1"/>
  <c r="AW68" i="1"/>
  <c r="AV68" i="1"/>
  <c r="AS68" i="1"/>
  <c r="AR68" i="1"/>
  <c r="N68" i="1"/>
  <c r="O68" i="1" s="1"/>
  <c r="H68" i="1"/>
  <c r="AY67" i="1"/>
  <c r="AX67" i="1"/>
  <c r="AW67" i="1"/>
  <c r="AV67" i="1"/>
  <c r="AS67" i="1"/>
  <c r="AR67" i="1"/>
  <c r="N67" i="1"/>
  <c r="H67" i="1"/>
  <c r="AE66" i="1"/>
  <c r="AD66" i="1"/>
  <c r="AD74" i="1" s="1"/>
  <c r="AC66" i="1"/>
  <c r="AB66" i="1"/>
  <c r="Z66" i="1"/>
  <c r="Z74" i="1" s="1"/>
  <c r="Y66" i="1"/>
  <c r="W66" i="1"/>
  <c r="M66" i="1"/>
  <c r="L66" i="1"/>
  <c r="K66" i="1"/>
  <c r="K74" i="1" s="1"/>
  <c r="J66" i="1"/>
  <c r="I66" i="1"/>
  <c r="AX65" i="1"/>
  <c r="AW65" i="1"/>
  <c r="AV65" i="1"/>
  <c r="AU65" i="1"/>
  <c r="AS65" i="1"/>
  <c r="AR65" i="1"/>
  <c r="N65" i="1"/>
  <c r="O65" i="1" s="1"/>
  <c r="H65" i="1"/>
  <c r="AX64" i="1"/>
  <c r="AW64" i="1"/>
  <c r="AV64" i="1"/>
  <c r="AU64" i="1"/>
  <c r="AS64" i="1"/>
  <c r="AR64" i="1"/>
  <c r="N64" i="1"/>
  <c r="O64" i="1" s="1"/>
  <c r="P64" i="1" s="1"/>
  <c r="H64" i="1"/>
  <c r="AX63" i="1"/>
  <c r="AW63" i="1"/>
  <c r="AV63" i="1"/>
  <c r="AU63" i="1"/>
  <c r="AS63" i="1"/>
  <c r="AR63" i="1"/>
  <c r="N63" i="1"/>
  <c r="O63" i="1" s="1"/>
  <c r="H63" i="1"/>
  <c r="AX62" i="1"/>
  <c r="AW62" i="1"/>
  <c r="AV62" i="1"/>
  <c r="AU62" i="1"/>
  <c r="AS62" i="1"/>
  <c r="AR62" i="1"/>
  <c r="N62" i="1"/>
  <c r="O62" i="1" s="1"/>
  <c r="H62" i="1"/>
  <c r="AX61" i="1"/>
  <c r="AW61" i="1"/>
  <c r="AV61" i="1"/>
  <c r="AU61" i="1"/>
  <c r="AS61" i="1"/>
  <c r="AR61" i="1"/>
  <c r="N61" i="1"/>
  <c r="O61" i="1" s="1"/>
  <c r="V61" i="1" s="1"/>
  <c r="H61" i="1"/>
  <c r="AX60" i="1"/>
  <c r="AW60" i="1"/>
  <c r="AV60" i="1"/>
  <c r="AU60" i="1"/>
  <c r="AS60" i="1"/>
  <c r="AR60" i="1"/>
  <c r="N60" i="1"/>
  <c r="O60" i="1" s="1"/>
  <c r="P60" i="1" s="1"/>
  <c r="H60" i="1"/>
  <c r="AX59" i="1"/>
  <c r="AW59" i="1"/>
  <c r="AV59" i="1"/>
  <c r="AU59" i="1"/>
  <c r="AS59" i="1"/>
  <c r="AR59" i="1"/>
  <c r="N59" i="1"/>
  <c r="O59" i="1" s="1"/>
  <c r="H59" i="1"/>
  <c r="AX58" i="1"/>
  <c r="AW58" i="1"/>
  <c r="AV58" i="1"/>
  <c r="AU58" i="1"/>
  <c r="AS58" i="1"/>
  <c r="AR58" i="1"/>
  <c r="N58" i="1"/>
  <c r="O58" i="1" s="1"/>
  <c r="V58" i="1" s="1"/>
  <c r="H58" i="1"/>
  <c r="AX57" i="1"/>
  <c r="AW57" i="1"/>
  <c r="AV57" i="1"/>
  <c r="AU57" i="1"/>
  <c r="AS57" i="1"/>
  <c r="AR57" i="1"/>
  <c r="N57" i="1"/>
  <c r="O57" i="1" s="1"/>
  <c r="H57" i="1"/>
  <c r="AX56" i="1"/>
  <c r="AW56" i="1"/>
  <c r="AV56" i="1"/>
  <c r="AV66" i="1" s="1"/>
  <c r="AU56" i="1"/>
  <c r="AS56" i="1"/>
  <c r="AR56" i="1"/>
  <c r="N56" i="1"/>
  <c r="O56" i="1" s="1"/>
  <c r="P56" i="1" s="1"/>
  <c r="H56" i="1"/>
  <c r="AM51" i="1"/>
  <c r="E51" i="1"/>
  <c r="AF49" i="1"/>
  <c r="AE49" i="1"/>
  <c r="AD49" i="1"/>
  <c r="AC49" i="1"/>
  <c r="Z49" i="1"/>
  <c r="Y49" i="1"/>
  <c r="W49" i="1"/>
  <c r="M49" i="1"/>
  <c r="J49" i="1"/>
  <c r="I49" i="1"/>
  <c r="AY48" i="1"/>
  <c r="AX48" i="1"/>
  <c r="AW48" i="1"/>
  <c r="AV48" i="1"/>
  <c r="AS48" i="1"/>
  <c r="AR48" i="1"/>
  <c r="N48" i="1"/>
  <c r="O48" i="1" s="1"/>
  <c r="H48" i="1"/>
  <c r="AY47" i="1"/>
  <c r="AX47" i="1"/>
  <c r="AW47" i="1"/>
  <c r="AV47" i="1"/>
  <c r="AS47" i="1"/>
  <c r="AR47" i="1"/>
  <c r="V47" i="1"/>
  <c r="U47" i="1"/>
  <c r="N47" i="1"/>
  <c r="O47" i="1" s="1"/>
  <c r="P47" i="1" s="1"/>
  <c r="K47" i="1"/>
  <c r="L47" i="1" s="1"/>
  <c r="H47" i="1"/>
  <c r="AY46" i="1"/>
  <c r="AX46" i="1"/>
  <c r="AW46" i="1"/>
  <c r="AV46" i="1"/>
  <c r="AS46" i="1"/>
  <c r="AR46" i="1"/>
  <c r="N46" i="1"/>
  <c r="O46" i="1" s="1"/>
  <c r="K46" i="1"/>
  <c r="L46" i="1" s="1"/>
  <c r="H46" i="1"/>
  <c r="AY45" i="1"/>
  <c r="AX45" i="1"/>
  <c r="AW45" i="1"/>
  <c r="AV45" i="1"/>
  <c r="AS45" i="1"/>
  <c r="AR45" i="1"/>
  <c r="V45" i="1"/>
  <c r="N45" i="1"/>
  <c r="O45" i="1" s="1"/>
  <c r="U45" i="1" s="1"/>
  <c r="K45" i="1"/>
  <c r="H45" i="1"/>
  <c r="AF44" i="1"/>
  <c r="AE44" i="1"/>
  <c r="AD44" i="1"/>
  <c r="AD50" i="1" s="1"/>
  <c r="AC44" i="1"/>
  <c r="Z44" i="1"/>
  <c r="Y44" i="1"/>
  <c r="Y50" i="1" s="1"/>
  <c r="W44" i="1"/>
  <c r="W50" i="1" s="1"/>
  <c r="M44" i="1"/>
  <c r="M50" i="1" s="1"/>
  <c r="L44" i="1"/>
  <c r="K44" i="1"/>
  <c r="J44" i="1"/>
  <c r="I44" i="1"/>
  <c r="AY43" i="1"/>
  <c r="AX43" i="1"/>
  <c r="AW43" i="1"/>
  <c r="AV43" i="1"/>
  <c r="AS43" i="1"/>
  <c r="AR43" i="1"/>
  <c r="N43" i="1"/>
  <c r="O43" i="1" s="1"/>
  <c r="V43" i="1" s="1"/>
  <c r="K43" i="1"/>
  <c r="L43" i="1" s="1"/>
  <c r="H43" i="1"/>
  <c r="AY42" i="1"/>
  <c r="AX42" i="1"/>
  <c r="AW42" i="1"/>
  <c r="AW44" i="1" s="1"/>
  <c r="AV42" i="1"/>
  <c r="AS42" i="1"/>
  <c r="AR42" i="1"/>
  <c r="N42" i="1"/>
  <c r="N44" i="1" s="1"/>
  <c r="H42" i="1"/>
  <c r="AM37" i="1"/>
  <c r="E37" i="1"/>
  <c r="Y36" i="1"/>
  <c r="AF35" i="1"/>
  <c r="AE35" i="1"/>
  <c r="AD35" i="1"/>
  <c r="AC35" i="1"/>
  <c r="Z35" i="1"/>
  <c r="Z931" i="1" s="1"/>
  <c r="Y35" i="1"/>
  <c r="W35" i="1"/>
  <c r="M35" i="1"/>
  <c r="J35" i="1"/>
  <c r="I35" i="1"/>
  <c r="AY34" i="1"/>
  <c r="AX34" i="1"/>
  <c r="AW34" i="1"/>
  <c r="AV34" i="1"/>
  <c r="AS34" i="1"/>
  <c r="AR34" i="1"/>
  <c r="N34" i="1"/>
  <c r="O34" i="1" s="1"/>
  <c r="P34" i="1" s="1"/>
  <c r="S34" i="1" s="1"/>
  <c r="H34" i="1"/>
  <c r="AY33" i="1"/>
  <c r="AX33" i="1"/>
  <c r="AW33" i="1"/>
  <c r="AV33" i="1"/>
  <c r="AS33" i="1"/>
  <c r="AR33" i="1"/>
  <c r="N33" i="1"/>
  <c r="O33" i="1" s="1"/>
  <c r="P33" i="1" s="1"/>
  <c r="R33" i="1" s="1"/>
  <c r="AP33" i="1" s="1"/>
  <c r="H33" i="1"/>
  <c r="AY32" i="1"/>
  <c r="AX32" i="1"/>
  <c r="AW32" i="1"/>
  <c r="AV32" i="1"/>
  <c r="AS32" i="1"/>
  <c r="AR32" i="1"/>
  <c r="O32" i="1"/>
  <c r="P32" i="1" s="1"/>
  <c r="X32" i="1" s="1"/>
  <c r="AQ32" i="1" s="1"/>
  <c r="N32" i="1"/>
  <c r="H32" i="1"/>
  <c r="AY31" i="1"/>
  <c r="AX31" i="1"/>
  <c r="AW31" i="1"/>
  <c r="AV31" i="1"/>
  <c r="AS31" i="1"/>
  <c r="AR31" i="1"/>
  <c r="N31" i="1"/>
  <c r="O31" i="1" s="1"/>
  <c r="V31" i="1" s="1"/>
  <c r="H31" i="1"/>
  <c r="AY30" i="1"/>
  <c r="AX30" i="1"/>
  <c r="AW30" i="1"/>
  <c r="AV30" i="1"/>
  <c r="AS30" i="1"/>
  <c r="AR30" i="1"/>
  <c r="N30" i="1"/>
  <c r="O30" i="1" s="1"/>
  <c r="H30" i="1"/>
  <c r="AY29" i="1"/>
  <c r="AX29" i="1"/>
  <c r="AW29" i="1"/>
  <c r="AV29" i="1"/>
  <c r="AS29" i="1"/>
  <c r="AR29" i="1"/>
  <c r="N29" i="1"/>
  <c r="O29" i="1" s="1"/>
  <c r="P29" i="1" s="1"/>
  <c r="K29" i="1"/>
  <c r="L29" i="1" s="1"/>
  <c r="H29" i="1"/>
  <c r="AY28" i="1"/>
  <c r="AX28" i="1"/>
  <c r="AW28" i="1"/>
  <c r="AV28" i="1"/>
  <c r="AS28" i="1"/>
  <c r="AR28" i="1"/>
  <c r="N28" i="1"/>
  <c r="O28" i="1" s="1"/>
  <c r="H28" i="1"/>
  <c r="AY27" i="1"/>
  <c r="AX27" i="1"/>
  <c r="AW27" i="1"/>
  <c r="AV27" i="1"/>
  <c r="AS27" i="1"/>
  <c r="AR27" i="1"/>
  <c r="N27" i="1"/>
  <c r="O27" i="1" s="1"/>
  <c r="H27" i="1"/>
  <c r="AY26" i="1"/>
  <c r="AX26" i="1"/>
  <c r="AW26" i="1"/>
  <c r="AV26" i="1"/>
  <c r="AS26" i="1"/>
  <c r="AR26" i="1"/>
  <c r="V26" i="1"/>
  <c r="U26" i="1"/>
  <c r="N26" i="1"/>
  <c r="O26" i="1" s="1"/>
  <c r="P26" i="1" s="1"/>
  <c r="R26" i="1" s="1"/>
  <c r="AP26" i="1" s="1"/>
  <c r="H26" i="1"/>
  <c r="AY25" i="1"/>
  <c r="AX25" i="1"/>
  <c r="AW25" i="1"/>
  <c r="AV25" i="1"/>
  <c r="AS25" i="1"/>
  <c r="AR25" i="1"/>
  <c r="N25" i="1"/>
  <c r="O25" i="1" s="1"/>
  <c r="P25" i="1" s="1"/>
  <c r="X25" i="1" s="1"/>
  <c r="AQ25" i="1" s="1"/>
  <c r="H25" i="1"/>
  <c r="AY24" i="1"/>
  <c r="AX24" i="1"/>
  <c r="AW24" i="1"/>
  <c r="AV24" i="1"/>
  <c r="AS24" i="1"/>
  <c r="AR24" i="1"/>
  <c r="N24" i="1"/>
  <c r="O24" i="1" s="1"/>
  <c r="V24" i="1" s="1"/>
  <c r="H24" i="1"/>
  <c r="AY23" i="1"/>
  <c r="AX23" i="1"/>
  <c r="AW23" i="1"/>
  <c r="AV23" i="1"/>
  <c r="AS23" i="1"/>
  <c r="AR23" i="1"/>
  <c r="N23" i="1"/>
  <c r="O23" i="1" s="1"/>
  <c r="P23" i="1" s="1"/>
  <c r="S23" i="1" s="1"/>
  <c r="K23" i="1"/>
  <c r="AY22" i="1"/>
  <c r="AX22" i="1"/>
  <c r="AW22" i="1"/>
  <c r="AV22" i="1"/>
  <c r="AS22" i="1"/>
  <c r="AR22" i="1"/>
  <c r="N22" i="1"/>
  <c r="O22" i="1" s="1"/>
  <c r="H22" i="1"/>
  <c r="AY21" i="1"/>
  <c r="AX21" i="1"/>
  <c r="AW21" i="1"/>
  <c r="AV21" i="1"/>
  <c r="AS21" i="1"/>
  <c r="AR21" i="1"/>
  <c r="N21" i="1"/>
  <c r="O21" i="1" s="1"/>
  <c r="V21" i="1" s="1"/>
  <c r="H21" i="1"/>
  <c r="AY20" i="1"/>
  <c r="AX20" i="1"/>
  <c r="AW20" i="1"/>
  <c r="AV20" i="1"/>
  <c r="AS20" i="1"/>
  <c r="AR20" i="1"/>
  <c r="O20" i="1"/>
  <c r="N20" i="1"/>
  <c r="H20" i="1"/>
  <c r="AY19" i="1"/>
  <c r="AX19" i="1"/>
  <c r="AW19" i="1"/>
  <c r="AV19" i="1"/>
  <c r="AS19" i="1"/>
  <c r="AR19" i="1"/>
  <c r="N19" i="1"/>
  <c r="O19" i="1" s="1"/>
  <c r="H19" i="1"/>
  <c r="AY18" i="1"/>
  <c r="AX18" i="1"/>
  <c r="AW18" i="1"/>
  <c r="AV18" i="1"/>
  <c r="AS18" i="1"/>
  <c r="AR18" i="1"/>
  <c r="N18" i="1"/>
  <c r="H18" i="1"/>
  <c r="AE17" i="1"/>
  <c r="AD17" i="1"/>
  <c r="AC17" i="1"/>
  <c r="Z17" i="1"/>
  <c r="Y17" i="1"/>
  <c r="W17" i="1"/>
  <c r="M17" i="1"/>
  <c r="M36" i="1" s="1"/>
  <c r="L17" i="1"/>
  <c r="K17" i="1"/>
  <c r="J17" i="1"/>
  <c r="I17" i="1"/>
  <c r="AY16" i="1"/>
  <c r="AX16" i="1"/>
  <c r="AW16" i="1"/>
  <c r="AV16" i="1"/>
  <c r="AS16" i="1"/>
  <c r="AR16" i="1"/>
  <c r="N16" i="1"/>
  <c r="O16" i="1" s="1"/>
  <c r="P16" i="1" s="1"/>
  <c r="R16" i="1" s="1"/>
  <c r="AP16" i="1" s="1"/>
  <c r="H16" i="1"/>
  <c r="AX15" i="1"/>
  <c r="AW15" i="1"/>
  <c r="AV15" i="1"/>
  <c r="AS15" i="1"/>
  <c r="AR15" i="1"/>
  <c r="N15" i="1"/>
  <c r="O15" i="1" s="1"/>
  <c r="H15" i="1"/>
  <c r="AY14" i="1"/>
  <c r="AX14" i="1"/>
  <c r="AW14" i="1"/>
  <c r="AV14" i="1"/>
  <c r="AS14" i="1"/>
  <c r="AR14" i="1"/>
  <c r="N14" i="1"/>
  <c r="O14" i="1" s="1"/>
  <c r="P14" i="1" s="1"/>
  <c r="H14" i="1"/>
  <c r="AY13" i="1"/>
  <c r="AX13" i="1"/>
  <c r="AW13" i="1"/>
  <c r="AV13" i="1"/>
  <c r="AS13" i="1"/>
  <c r="AR13" i="1"/>
  <c r="N13" i="1"/>
  <c r="O13" i="1" s="1"/>
  <c r="H13" i="1"/>
  <c r="AY12" i="1"/>
  <c r="AX12" i="1"/>
  <c r="AW12" i="1"/>
  <c r="AV12" i="1"/>
  <c r="AS12" i="1"/>
  <c r="AR12" i="1"/>
  <c r="N12" i="1"/>
  <c r="O12" i="1" s="1"/>
  <c r="P12" i="1" s="1"/>
  <c r="AY11" i="1"/>
  <c r="AX11" i="1"/>
  <c r="AW11" i="1"/>
  <c r="AV11" i="1"/>
  <c r="AS11" i="1"/>
  <c r="AR11" i="1"/>
  <c r="N11" i="1"/>
  <c r="O11" i="1" s="1"/>
  <c r="V11" i="1" s="1"/>
  <c r="H11" i="1"/>
  <c r="AY10" i="1"/>
  <c r="AX10" i="1"/>
  <c r="AW10" i="1"/>
  <c r="AV10" i="1"/>
  <c r="AS10" i="1"/>
  <c r="AR10" i="1"/>
  <c r="N10" i="1"/>
  <c r="O10" i="1" s="1"/>
  <c r="H10" i="1"/>
  <c r="AY9" i="1"/>
  <c r="AX9" i="1"/>
  <c r="AW9" i="1"/>
  <c r="AV9" i="1"/>
  <c r="AS9" i="1"/>
  <c r="AR9" i="1"/>
  <c r="N9" i="1"/>
  <c r="O9" i="1" s="1"/>
  <c r="P9" i="1" s="1"/>
  <c r="X9" i="1" s="1"/>
  <c r="AQ9" i="1" s="1"/>
  <c r="H9" i="1"/>
  <c r="AY8" i="1"/>
  <c r="AX8" i="1"/>
  <c r="AW8" i="1"/>
  <c r="AV8" i="1"/>
  <c r="AS8" i="1"/>
  <c r="AR8" i="1"/>
  <c r="N8" i="1"/>
  <c r="O8" i="1" s="1"/>
  <c r="P8" i="1" s="1"/>
  <c r="H8" i="1"/>
  <c r="AY7" i="1"/>
  <c r="AX7" i="1"/>
  <c r="AW7" i="1"/>
  <c r="AV7" i="1"/>
  <c r="AS7" i="1"/>
  <c r="AR7" i="1"/>
  <c r="N7" i="1"/>
  <c r="H7" i="1"/>
  <c r="AY6" i="1"/>
  <c r="AX6" i="1"/>
  <c r="AW6" i="1"/>
  <c r="AV6" i="1"/>
  <c r="AS6" i="1"/>
  <c r="AR6" i="1"/>
  <c r="N6" i="1"/>
  <c r="O6" i="1" s="1"/>
  <c r="H6" i="1"/>
  <c r="V504" i="1" l="1"/>
  <c r="P504" i="1"/>
  <c r="S504" i="1" s="1"/>
  <c r="R685" i="1"/>
  <c r="AP685" i="1" s="1"/>
  <c r="Q685" i="1"/>
  <c r="AO685" i="1" s="1"/>
  <c r="P731" i="1"/>
  <c r="V731" i="1"/>
  <c r="U731" i="1"/>
  <c r="U852" i="1"/>
  <c r="V852" i="1"/>
  <c r="P852" i="1"/>
  <c r="V33" i="1"/>
  <c r="AV44" i="1"/>
  <c r="AY73" i="1"/>
  <c r="AW207" i="1"/>
  <c r="AW208" i="1" s="1"/>
  <c r="U224" i="1"/>
  <c r="V224" i="1"/>
  <c r="V226" i="1" s="1"/>
  <c r="V480" i="1"/>
  <c r="U480" i="1"/>
  <c r="P480" i="1"/>
  <c r="P917" i="1"/>
  <c r="U917" i="1"/>
  <c r="AY218" i="1"/>
  <c r="V566" i="1"/>
  <c r="P566" i="1"/>
  <c r="Q566" i="1" s="1"/>
  <c r="AO566" i="1" s="1"/>
  <c r="X629" i="1"/>
  <c r="AQ629" i="1" s="1"/>
  <c r="Q629" i="1"/>
  <c r="AO629" i="1" s="1"/>
  <c r="V678" i="1"/>
  <c r="U678" i="1"/>
  <c r="P678" i="1"/>
  <c r="AC864" i="1"/>
  <c r="P449" i="1"/>
  <c r="R449" i="1" s="1"/>
  <c r="AP449" i="1" s="1"/>
  <c r="U449" i="1"/>
  <c r="V512" i="1"/>
  <c r="P512" i="1"/>
  <c r="S512" i="1" s="1"/>
  <c r="V583" i="1"/>
  <c r="P583" i="1"/>
  <c r="V617" i="1"/>
  <c r="U617" i="1"/>
  <c r="P617" i="1"/>
  <c r="R617" i="1" s="1"/>
  <c r="AP617" i="1" s="1"/>
  <c r="U773" i="1"/>
  <c r="P773" i="1"/>
  <c r="X773" i="1" s="1"/>
  <c r="AQ773" i="1" s="1"/>
  <c r="N916" i="1"/>
  <c r="O914" i="1"/>
  <c r="N215" i="1"/>
  <c r="O214" i="1"/>
  <c r="M218" i="1"/>
  <c r="V449" i="1"/>
  <c r="Q487" i="1"/>
  <c r="AO487" i="1" s="1"/>
  <c r="R487" i="1"/>
  <c r="AP487" i="1" s="1"/>
  <c r="V522" i="1"/>
  <c r="P522" i="1"/>
  <c r="Q522" i="1" s="1"/>
  <c r="AO522" i="1" s="1"/>
  <c r="S525" i="1"/>
  <c r="R525" i="1"/>
  <c r="AP525" i="1" s="1"/>
  <c r="U583" i="1"/>
  <c r="P586" i="1"/>
  <c r="S586" i="1" s="1"/>
  <c r="T586" i="1" s="1"/>
  <c r="U586" i="1"/>
  <c r="V587" i="1"/>
  <c r="U587" i="1"/>
  <c r="P587" i="1"/>
  <c r="V589" i="1"/>
  <c r="P589" i="1"/>
  <c r="N17" i="1"/>
  <c r="P126" i="1"/>
  <c r="R126" i="1" s="1"/>
  <c r="AP126" i="1" s="1"/>
  <c r="V126" i="1"/>
  <c r="P142" i="1"/>
  <c r="V142" i="1"/>
  <c r="U142" i="1"/>
  <c r="W358" i="1"/>
  <c r="V476" i="1"/>
  <c r="P476" i="1"/>
  <c r="Q476" i="1" s="1"/>
  <c r="AO476" i="1" s="1"/>
  <c r="I36" i="1"/>
  <c r="U126" i="1"/>
  <c r="P166" i="1"/>
  <c r="Q166" i="1" s="1"/>
  <c r="AO166" i="1" s="1"/>
  <c r="U166" i="1"/>
  <c r="S205" i="1"/>
  <c r="R205" i="1"/>
  <c r="AP205" i="1" s="1"/>
  <c r="K898" i="1"/>
  <c r="L896" i="1"/>
  <c r="L898" i="1" s="1"/>
  <c r="S16" i="1"/>
  <c r="T16" i="1" s="1"/>
  <c r="U16" i="1"/>
  <c r="P109" i="1"/>
  <c r="V109" i="1"/>
  <c r="AW218" i="1"/>
  <c r="AS304" i="1"/>
  <c r="AS315" i="1" s="1"/>
  <c r="AC632" i="1"/>
  <c r="U705" i="1"/>
  <c r="W864" i="1"/>
  <c r="AX904" i="1"/>
  <c r="AY44" i="1"/>
  <c r="K49" i="1"/>
  <c r="AY49" i="1"/>
  <c r="W74" i="1"/>
  <c r="N73" i="1"/>
  <c r="AR82" i="1"/>
  <c r="AR83" i="1" s="1"/>
  <c r="J218" i="1"/>
  <c r="AC218" i="1"/>
  <c r="J278" i="1"/>
  <c r="I294" i="1"/>
  <c r="W326" i="1"/>
  <c r="AC423" i="1"/>
  <c r="U440" i="1"/>
  <c r="AY614" i="1"/>
  <c r="AW614" i="1"/>
  <c r="AD632" i="1"/>
  <c r="U624" i="1"/>
  <c r="U629" i="1"/>
  <c r="M662" i="1"/>
  <c r="R774" i="1"/>
  <c r="AP774" i="1" s="1"/>
  <c r="V792" i="1"/>
  <c r="U793" i="1"/>
  <c r="P796" i="1"/>
  <c r="R796" i="1" s="1"/>
  <c r="AP796" i="1" s="1"/>
  <c r="U801" i="1"/>
  <c r="P822" i="1"/>
  <c r="Y864" i="1"/>
  <c r="AF905" i="1"/>
  <c r="P903" i="1"/>
  <c r="Y74" i="1"/>
  <c r="AR133" i="1"/>
  <c r="AD218" i="1"/>
  <c r="L218" i="1"/>
  <c r="Y326" i="1"/>
  <c r="AS338" i="1"/>
  <c r="I358" i="1"/>
  <c r="U409" i="1"/>
  <c r="J605" i="1"/>
  <c r="V440" i="1"/>
  <c r="U578" i="1"/>
  <c r="V624" i="1"/>
  <c r="V685" i="1"/>
  <c r="P723" i="1"/>
  <c r="R723" i="1" s="1"/>
  <c r="AP723" i="1" s="1"/>
  <c r="V793" i="1"/>
  <c r="V796" i="1"/>
  <c r="V801" i="1"/>
  <c r="U822" i="1"/>
  <c r="AV898" i="1"/>
  <c r="AV905" i="1" s="1"/>
  <c r="AR898" i="1"/>
  <c r="AR905" i="1" s="1"/>
  <c r="M905" i="1"/>
  <c r="AS916" i="1"/>
  <c r="AE294" i="1"/>
  <c r="AY304" i="1"/>
  <c r="AF605" i="1"/>
  <c r="AS44" i="1"/>
  <c r="AS49" i="1"/>
  <c r="AS50" i="1" s="1"/>
  <c r="J74" i="1"/>
  <c r="AC74" i="1"/>
  <c r="AX157" i="1"/>
  <c r="AD326" i="1"/>
  <c r="AX338" i="1"/>
  <c r="P378" i="1"/>
  <c r="Q378" i="1" s="1"/>
  <c r="AO378" i="1" s="1"/>
  <c r="AE386" i="1"/>
  <c r="AR396" i="1"/>
  <c r="M423" i="1"/>
  <c r="V402" i="1"/>
  <c r="S479" i="1"/>
  <c r="S612" i="1"/>
  <c r="K614" i="1"/>
  <c r="W632" i="1"/>
  <c r="U620" i="1"/>
  <c r="U628" i="1"/>
  <c r="Y632" i="1"/>
  <c r="V673" i="1"/>
  <c r="P700" i="1"/>
  <c r="S700" i="1" s="1"/>
  <c r="AA700" i="1" s="1"/>
  <c r="AT700" i="1" s="1"/>
  <c r="V735" i="1"/>
  <c r="V743" i="1"/>
  <c r="P771" i="1"/>
  <c r="X771" i="1" s="1"/>
  <c r="AQ771" i="1" s="1"/>
  <c r="P780" i="1"/>
  <c r="U844" i="1"/>
  <c r="U848" i="1"/>
  <c r="J315" i="1"/>
  <c r="AV396" i="1"/>
  <c r="U479" i="1"/>
  <c r="V620" i="1"/>
  <c r="U700" i="1"/>
  <c r="U771" i="1"/>
  <c r="V780" i="1"/>
  <c r="AY916" i="1"/>
  <c r="AY924" i="1" s="1"/>
  <c r="AW916" i="1"/>
  <c r="AY923" i="1"/>
  <c r="X12" i="1"/>
  <c r="AQ12" i="1" s="1"/>
  <c r="S12" i="1"/>
  <c r="T12" i="1" s="1"/>
  <c r="P13" i="1"/>
  <c r="X13" i="1" s="1"/>
  <c r="AQ13" i="1" s="1"/>
  <c r="U13" i="1"/>
  <c r="P148" i="1"/>
  <c r="X148" i="1" s="1"/>
  <c r="AQ148" i="1" s="1"/>
  <c r="U148" i="1"/>
  <c r="V154" i="1"/>
  <c r="P154" i="1"/>
  <c r="S154" i="1" s="1"/>
  <c r="V179" i="1"/>
  <c r="P179" i="1"/>
  <c r="U179" i="1"/>
  <c r="V181" i="1"/>
  <c r="U181" i="1"/>
  <c r="R255" i="1"/>
  <c r="AP255" i="1" s="1"/>
  <c r="Q255" i="1"/>
  <c r="AO255" i="1" s="1"/>
  <c r="X255" i="1"/>
  <c r="AQ255" i="1" s="1"/>
  <c r="S255" i="1"/>
  <c r="P59" i="1"/>
  <c r="U59" i="1"/>
  <c r="Q163" i="1"/>
  <c r="AO163" i="1" s="1"/>
  <c r="S163" i="1"/>
  <c r="X163" i="1"/>
  <c r="AQ163" i="1" s="1"/>
  <c r="P63" i="1"/>
  <c r="U63" i="1"/>
  <c r="R64" i="1"/>
  <c r="AP64" i="1" s="1"/>
  <c r="S64" i="1"/>
  <c r="V65" i="1"/>
  <c r="P65" i="1"/>
  <c r="S65" i="1" s="1"/>
  <c r="U65" i="1"/>
  <c r="P92" i="1"/>
  <c r="S92" i="1" s="1"/>
  <c r="U92" i="1"/>
  <c r="V104" i="1"/>
  <c r="P104" i="1"/>
  <c r="Q104" i="1" s="1"/>
  <c r="AO104" i="1" s="1"/>
  <c r="V107" i="1"/>
  <c r="P107" i="1"/>
  <c r="Q107" i="1" s="1"/>
  <c r="P151" i="1"/>
  <c r="Q151" i="1" s="1"/>
  <c r="AO151" i="1" s="1"/>
  <c r="U151" i="1"/>
  <c r="V151" i="1"/>
  <c r="V190" i="1"/>
  <c r="P190" i="1"/>
  <c r="S190" i="1" s="1"/>
  <c r="U190" i="1"/>
  <c r="V225" i="1"/>
  <c r="U225" i="1"/>
  <c r="P225" i="1"/>
  <c r="S225" i="1" s="1"/>
  <c r="T225" i="1" s="1"/>
  <c r="V261" i="1"/>
  <c r="U261" i="1"/>
  <c r="P261" i="1"/>
  <c r="S14" i="1"/>
  <c r="T14" i="1" s="1"/>
  <c r="R14" i="1"/>
  <c r="AP14" i="1" s="1"/>
  <c r="Q14" i="1"/>
  <c r="AO14" i="1" s="1"/>
  <c r="P19" i="1"/>
  <c r="U19" i="1"/>
  <c r="V149" i="1"/>
  <c r="U149" i="1"/>
  <c r="P149" i="1"/>
  <c r="V57" i="1"/>
  <c r="P57" i="1"/>
  <c r="U57" i="1"/>
  <c r="S60" i="1"/>
  <c r="R60" i="1"/>
  <c r="AP60" i="1" s="1"/>
  <c r="P102" i="1"/>
  <c r="S102" i="1" s="1"/>
  <c r="U102" i="1"/>
  <c r="V141" i="1"/>
  <c r="P141" i="1"/>
  <c r="U141" i="1"/>
  <c r="U165" i="1"/>
  <c r="V165" i="1"/>
  <c r="V183" i="1"/>
  <c r="U183" i="1"/>
  <c r="P183" i="1"/>
  <c r="R183" i="1" s="1"/>
  <c r="AP183" i="1" s="1"/>
  <c r="U248" i="1"/>
  <c r="P248" i="1"/>
  <c r="V265" i="1"/>
  <c r="U265" i="1"/>
  <c r="P265" i="1"/>
  <c r="U6" i="1"/>
  <c r="V6" i="1"/>
  <c r="P6" i="1"/>
  <c r="AB34" i="1"/>
  <c r="AU34" i="1" s="1"/>
  <c r="T34" i="1"/>
  <c r="AA34" i="1"/>
  <c r="AT34" i="1" s="1"/>
  <c r="R100" i="1"/>
  <c r="AP100" i="1" s="1"/>
  <c r="S100" i="1"/>
  <c r="X144" i="1"/>
  <c r="AQ144" i="1" s="1"/>
  <c r="Q144" i="1"/>
  <c r="AO144" i="1" s="1"/>
  <c r="R144" i="1"/>
  <c r="AP144" i="1" s="1"/>
  <c r="V145" i="1"/>
  <c r="U145" i="1"/>
  <c r="P145" i="1"/>
  <c r="X145" i="1" s="1"/>
  <c r="AQ145" i="1" s="1"/>
  <c r="V175" i="1"/>
  <c r="P175" i="1"/>
  <c r="U175" i="1"/>
  <c r="T377" i="1"/>
  <c r="AA377" i="1"/>
  <c r="AT377" i="1" s="1"/>
  <c r="AW49" i="1"/>
  <c r="AW66" i="1"/>
  <c r="O80" i="1"/>
  <c r="I134" i="1"/>
  <c r="AS133" i="1"/>
  <c r="S140" i="1"/>
  <c r="AA140" i="1" s="1"/>
  <c r="P147" i="1"/>
  <c r="Q147" i="1" s="1"/>
  <c r="AO147" i="1" s="1"/>
  <c r="P156" i="1"/>
  <c r="R156" i="1" s="1"/>
  <c r="AP156" i="1" s="1"/>
  <c r="P168" i="1"/>
  <c r="U168" i="1"/>
  <c r="U170" i="1"/>
  <c r="Q171" i="1"/>
  <c r="AO171" i="1" s="1"/>
  <c r="Q173" i="1"/>
  <c r="AO173" i="1" s="1"/>
  <c r="P187" i="1"/>
  <c r="S187" i="1" s="1"/>
  <c r="AS218" i="1"/>
  <c r="AX226" i="1"/>
  <c r="AX278" i="1" s="1"/>
  <c r="K226" i="1"/>
  <c r="Z278" i="1"/>
  <c r="V249" i="1"/>
  <c r="P249" i="1"/>
  <c r="R249" i="1" s="1"/>
  <c r="AP249" i="1" s="1"/>
  <c r="U260" i="1"/>
  <c r="P310" i="1"/>
  <c r="R310" i="1" s="1"/>
  <c r="AP310" i="1" s="1"/>
  <c r="V310" i="1"/>
  <c r="AE326" i="1"/>
  <c r="V324" i="1"/>
  <c r="U324" i="1"/>
  <c r="V354" i="1"/>
  <c r="U354" i="1"/>
  <c r="P382" i="1"/>
  <c r="V382" i="1"/>
  <c r="P383" i="1"/>
  <c r="U383" i="1"/>
  <c r="R395" i="1"/>
  <c r="AP395" i="1" s="1"/>
  <c r="Q395" i="1"/>
  <c r="AO395" i="1" s="1"/>
  <c r="U416" i="1"/>
  <c r="V472" i="1"/>
  <c r="U472" i="1"/>
  <c r="P472" i="1"/>
  <c r="R472" i="1" s="1"/>
  <c r="AP472" i="1" s="1"/>
  <c r="V478" i="1"/>
  <c r="P478" i="1"/>
  <c r="Q478" i="1" s="1"/>
  <c r="AO478" i="1" s="1"/>
  <c r="V484" i="1"/>
  <c r="U484" i="1"/>
  <c r="P484" i="1"/>
  <c r="X498" i="1"/>
  <c r="AQ498" i="1" s="1"/>
  <c r="Q498" i="1"/>
  <c r="AO498" i="1" s="1"/>
  <c r="V516" i="1"/>
  <c r="U516" i="1"/>
  <c r="P516" i="1"/>
  <c r="S516" i="1" s="1"/>
  <c r="AA516" i="1" s="1"/>
  <c r="AT516" i="1" s="1"/>
  <c r="J614" i="1"/>
  <c r="J632" i="1" s="1"/>
  <c r="V621" i="1"/>
  <c r="U621" i="1"/>
  <c r="P621" i="1"/>
  <c r="N639" i="1"/>
  <c r="O638" i="1"/>
  <c r="V638" i="1" s="1"/>
  <c r="V639" i="1" s="1"/>
  <c r="V646" i="1"/>
  <c r="U646" i="1"/>
  <c r="P646" i="1"/>
  <c r="Q646" i="1" s="1"/>
  <c r="AO646" i="1" s="1"/>
  <c r="AR35" i="1"/>
  <c r="AX44" i="1"/>
  <c r="AX66" i="1"/>
  <c r="AW106" i="1"/>
  <c r="Q155" i="1"/>
  <c r="AO155" i="1" s="1"/>
  <c r="X155" i="1"/>
  <c r="AQ155" i="1" s="1"/>
  <c r="U156" i="1"/>
  <c r="AW226" i="1"/>
  <c r="K314" i="1"/>
  <c r="K315" i="1" s="1"/>
  <c r="L305" i="1"/>
  <c r="L314" i="1" s="1"/>
  <c r="L315" i="1" s="1"/>
  <c r="V333" i="1"/>
  <c r="U333" i="1"/>
  <c r="P372" i="1"/>
  <c r="X372" i="1" s="1"/>
  <c r="U372" i="1"/>
  <c r="R377" i="1"/>
  <c r="AP377" i="1" s="1"/>
  <c r="Q377" i="1"/>
  <c r="AO377" i="1" s="1"/>
  <c r="X377" i="1"/>
  <c r="AQ377" i="1" s="1"/>
  <c r="P430" i="1"/>
  <c r="U430" i="1"/>
  <c r="O7" i="1"/>
  <c r="V7" i="1" s="1"/>
  <c r="Q9" i="1"/>
  <c r="AO9" i="1" s="1"/>
  <c r="AW35" i="1"/>
  <c r="AC931" i="1"/>
  <c r="AE50" i="1"/>
  <c r="L45" i="1"/>
  <c r="L49" i="1" s="1"/>
  <c r="U72" i="1"/>
  <c r="AS106" i="1"/>
  <c r="AS134" i="1" s="1"/>
  <c r="AY106" i="1"/>
  <c r="AV106" i="1"/>
  <c r="V97" i="1"/>
  <c r="J134" i="1"/>
  <c r="Z134" i="1"/>
  <c r="AF134" i="1"/>
  <c r="U155" i="1"/>
  <c r="V168" i="1"/>
  <c r="V170" i="1"/>
  <c r="AV207" i="1"/>
  <c r="AV208" i="1" s="1"/>
  <c r="AY207" i="1"/>
  <c r="AY208" i="1" s="1"/>
  <c r="V260" i="1"/>
  <c r="P263" i="1"/>
  <c r="X263" i="1" s="1"/>
  <c r="AQ263" i="1" s="1"/>
  <c r="L294" i="1"/>
  <c r="AX293" i="1"/>
  <c r="AX314" i="1"/>
  <c r="U310" i="1"/>
  <c r="V311" i="1"/>
  <c r="U311" i="1"/>
  <c r="P313" i="1"/>
  <c r="S313" i="1" s="1"/>
  <c r="V313" i="1"/>
  <c r="U313" i="1"/>
  <c r="L326" i="1"/>
  <c r="P324" i="1"/>
  <c r="S324" i="1" s="1"/>
  <c r="T324" i="1" s="1"/>
  <c r="V345" i="1"/>
  <c r="P345" i="1"/>
  <c r="S345" i="1" s="1"/>
  <c r="AB345" i="1" s="1"/>
  <c r="AU345" i="1" s="1"/>
  <c r="U345" i="1"/>
  <c r="P354" i="1"/>
  <c r="P369" i="1"/>
  <c r="U369" i="1"/>
  <c r="P375" i="1"/>
  <c r="X375" i="1" s="1"/>
  <c r="AQ375" i="1" s="1"/>
  <c r="V375" i="1"/>
  <c r="U375" i="1"/>
  <c r="P376" i="1"/>
  <c r="U376" i="1"/>
  <c r="U404" i="1"/>
  <c r="V404" i="1"/>
  <c r="P404" i="1"/>
  <c r="Q404" i="1" s="1"/>
  <c r="AO404" i="1" s="1"/>
  <c r="P406" i="1"/>
  <c r="U406" i="1"/>
  <c r="P410" i="1"/>
  <c r="R410" i="1" s="1"/>
  <c r="AP410" i="1" s="1"/>
  <c r="V410" i="1"/>
  <c r="V470" i="1"/>
  <c r="U470" i="1"/>
  <c r="P495" i="1"/>
  <c r="X495" i="1" s="1"/>
  <c r="AQ495" i="1" s="1"/>
  <c r="V495" i="1"/>
  <c r="U495" i="1"/>
  <c r="AB504" i="1"/>
  <c r="AU504" i="1" s="1"/>
  <c r="T504" i="1"/>
  <c r="V562" i="1"/>
  <c r="P562" i="1"/>
  <c r="Q562" i="1" s="1"/>
  <c r="AO562" i="1" s="1"/>
  <c r="AR44" i="1"/>
  <c r="V152" i="1"/>
  <c r="U152" i="1"/>
  <c r="Q170" i="1"/>
  <c r="AO170" i="1" s="1"/>
  <c r="S170" i="1"/>
  <c r="P276" i="1"/>
  <c r="S276" i="1" s="1"/>
  <c r="V276" i="1"/>
  <c r="W315" i="1"/>
  <c r="O321" i="1"/>
  <c r="U321" i="1" s="1"/>
  <c r="U322" i="1" s="1"/>
  <c r="N322" i="1"/>
  <c r="N326" i="1" s="1"/>
  <c r="V349" i="1"/>
  <c r="U349" i="1"/>
  <c r="P349" i="1"/>
  <c r="S349" i="1" s="1"/>
  <c r="X397" i="1"/>
  <c r="AQ397" i="1" s="1"/>
  <c r="R397" i="1"/>
  <c r="AP397" i="1" s="1"/>
  <c r="Q397" i="1"/>
  <c r="U400" i="1"/>
  <c r="V400" i="1"/>
  <c r="P400" i="1"/>
  <c r="R400" i="1" s="1"/>
  <c r="AP400" i="1" s="1"/>
  <c r="S545" i="1"/>
  <c r="R545" i="1"/>
  <c r="AP545" i="1" s="1"/>
  <c r="P598" i="1"/>
  <c r="R598" i="1" s="1"/>
  <c r="AP598" i="1" s="1"/>
  <c r="V598" i="1"/>
  <c r="U598" i="1"/>
  <c r="V625" i="1"/>
  <c r="U625" i="1"/>
  <c r="P625" i="1"/>
  <c r="AR17" i="1"/>
  <c r="P11" i="1"/>
  <c r="X11" i="1" s="1"/>
  <c r="AQ11" i="1" s="1"/>
  <c r="AC930" i="1"/>
  <c r="N35" i="1"/>
  <c r="N36" i="1" s="1"/>
  <c r="P61" i="1"/>
  <c r="X61" i="1" s="1"/>
  <c r="AQ61" i="1" s="1"/>
  <c r="AR106" i="1"/>
  <c r="AR134" i="1" s="1"/>
  <c r="U97" i="1"/>
  <c r="Y134" i="1"/>
  <c r="AS17" i="1"/>
  <c r="U8" i="1"/>
  <c r="R9" i="1"/>
  <c r="AP9" i="1" s="1"/>
  <c r="U11" i="1"/>
  <c r="V16" i="1"/>
  <c r="J36" i="1"/>
  <c r="AS35" i="1"/>
  <c r="AD931" i="1"/>
  <c r="I50" i="1"/>
  <c r="Z50" i="1"/>
  <c r="AF50" i="1"/>
  <c r="AR49" i="1"/>
  <c r="L74" i="1"/>
  <c r="U69" i="1"/>
  <c r="V8" i="1"/>
  <c r="S9" i="1"/>
  <c r="T9" i="1" s="1"/>
  <c r="AY35" i="1"/>
  <c r="U33" i="1"/>
  <c r="O42" i="1"/>
  <c r="V42" i="1" s="1"/>
  <c r="V44" i="1" s="1"/>
  <c r="AW50" i="1"/>
  <c r="J50" i="1"/>
  <c r="AC50" i="1"/>
  <c r="AV49" i="1"/>
  <c r="AV50" i="1" s="1"/>
  <c r="AU66" i="1"/>
  <c r="U61" i="1"/>
  <c r="I74" i="1"/>
  <c r="M74" i="1"/>
  <c r="AV73" i="1"/>
  <c r="AV74" i="1" s="1"/>
  <c r="AS73" i="1"/>
  <c r="V69" i="1"/>
  <c r="V72" i="1"/>
  <c r="AX82" i="1"/>
  <c r="AX83" i="1" s="1"/>
  <c r="AV82" i="1"/>
  <c r="AV83" i="1" s="1"/>
  <c r="M134" i="1"/>
  <c r="U109" i="1"/>
  <c r="U118" i="1"/>
  <c r="V155" i="1"/>
  <c r="AD193" i="1"/>
  <c r="P164" i="1"/>
  <c r="R166" i="1"/>
  <c r="AP166" i="1" s="1"/>
  <c r="P169" i="1"/>
  <c r="Q169" i="1" s="1"/>
  <c r="AO169" i="1" s="1"/>
  <c r="X170" i="1"/>
  <c r="AQ170" i="1" s="1"/>
  <c r="V171" i="1"/>
  <c r="U171" i="1"/>
  <c r="V173" i="1"/>
  <c r="U173" i="1"/>
  <c r="AS192" i="1"/>
  <c r="U187" i="1"/>
  <c r="N207" i="1"/>
  <c r="N208" i="1" s="1"/>
  <c r="K218" i="1"/>
  <c r="U226" i="1"/>
  <c r="I278" i="1"/>
  <c r="U249" i="1"/>
  <c r="P257" i="1"/>
  <c r="V257" i="1"/>
  <c r="V263" i="1"/>
  <c r="AV293" i="1"/>
  <c r="AS314" i="1"/>
  <c r="U307" i="1"/>
  <c r="P311" i="1"/>
  <c r="S311" i="1" s="1"/>
  <c r="T311" i="1" s="1"/>
  <c r="AV326" i="1"/>
  <c r="AS325" i="1"/>
  <c r="AS326" i="1" s="1"/>
  <c r="AY325" i="1"/>
  <c r="AY326" i="1" s="1"/>
  <c r="N338" i="1"/>
  <c r="O332" i="1"/>
  <c r="P332" i="1" s="1"/>
  <c r="S332" i="1" s="1"/>
  <c r="AY338" i="1"/>
  <c r="R336" i="1"/>
  <c r="AP336" i="1" s="1"/>
  <c r="V337" i="1"/>
  <c r="U337" i="1"/>
  <c r="V341" i="1"/>
  <c r="P341" i="1"/>
  <c r="S341" i="1" s="1"/>
  <c r="T341" i="1" s="1"/>
  <c r="U341" i="1"/>
  <c r="AV385" i="1"/>
  <c r="P414" i="1"/>
  <c r="U414" i="1"/>
  <c r="V420" i="1"/>
  <c r="P420" i="1"/>
  <c r="Q420" i="1" s="1"/>
  <c r="AO420" i="1" s="1"/>
  <c r="V432" i="1"/>
  <c r="U432" i="1"/>
  <c r="P432" i="1"/>
  <c r="X463" i="1"/>
  <c r="AQ463" i="1" s="1"/>
  <c r="R463" i="1"/>
  <c r="AP463" i="1" s="1"/>
  <c r="Q463" i="1"/>
  <c r="AO463" i="1" s="1"/>
  <c r="V486" i="1"/>
  <c r="U486" i="1"/>
  <c r="V520" i="1"/>
  <c r="U520" i="1"/>
  <c r="P520" i="1"/>
  <c r="S520" i="1" s="1"/>
  <c r="X587" i="1"/>
  <c r="AQ587" i="1" s="1"/>
  <c r="S587" i="1"/>
  <c r="R587" i="1"/>
  <c r="AP587" i="1" s="1"/>
  <c r="Q587" i="1"/>
  <c r="AO587" i="1" s="1"/>
  <c r="P603" i="1"/>
  <c r="V603" i="1"/>
  <c r="U603" i="1"/>
  <c r="AV371" i="1"/>
  <c r="AR371" i="1"/>
  <c r="M386" i="1"/>
  <c r="U380" i="1"/>
  <c r="AX396" i="1"/>
  <c r="W423" i="1"/>
  <c r="AD423" i="1"/>
  <c r="AR433" i="1"/>
  <c r="AX433" i="1"/>
  <c r="P436" i="1"/>
  <c r="V436" i="1"/>
  <c r="V492" i="1"/>
  <c r="U492" i="1"/>
  <c r="V500" i="1"/>
  <c r="U500" i="1"/>
  <c r="V574" i="1"/>
  <c r="P574" i="1"/>
  <c r="Q574" i="1" s="1"/>
  <c r="AO574" i="1" s="1"/>
  <c r="X650" i="1"/>
  <c r="AQ650" i="1" s="1"/>
  <c r="S650" i="1"/>
  <c r="AB650" i="1" s="1"/>
  <c r="AU650" i="1" s="1"/>
  <c r="R650" i="1"/>
  <c r="AP650" i="1" s="1"/>
  <c r="Q650" i="1"/>
  <c r="AO650" i="1" s="1"/>
  <c r="V651" i="1"/>
  <c r="U651" i="1"/>
  <c r="P651" i="1"/>
  <c r="U653" i="1"/>
  <c r="P653" i="1"/>
  <c r="V653" i="1"/>
  <c r="V655" i="1"/>
  <c r="P655" i="1"/>
  <c r="U655" i="1"/>
  <c r="P691" i="1"/>
  <c r="V691" i="1"/>
  <c r="V746" i="1"/>
  <c r="P746" i="1"/>
  <c r="S746" i="1" s="1"/>
  <c r="AA746" i="1" s="1"/>
  <c r="AT746" i="1" s="1"/>
  <c r="U746" i="1"/>
  <c r="V823" i="1"/>
  <c r="U823" i="1"/>
  <c r="P823" i="1"/>
  <c r="S823" i="1" s="1"/>
  <c r="T845" i="1"/>
  <c r="AB845" i="1"/>
  <c r="AU845" i="1" s="1"/>
  <c r="AA845" i="1"/>
  <c r="AT845" i="1" s="1"/>
  <c r="O862" i="1"/>
  <c r="N863" i="1"/>
  <c r="N286" i="1"/>
  <c r="N293" i="1"/>
  <c r="AW293" i="1"/>
  <c r="AW294" i="1" s="1"/>
  <c r="AW304" i="1"/>
  <c r="AE315" i="1"/>
  <c r="M326" i="1"/>
  <c r="AC326" i="1"/>
  <c r="AV338" i="1"/>
  <c r="AS357" i="1"/>
  <c r="AS358" i="1" s="1"/>
  <c r="AR357" i="1"/>
  <c r="AW371" i="1"/>
  <c r="AS371" i="1"/>
  <c r="AX385" i="1"/>
  <c r="AR385" i="1"/>
  <c r="AY396" i="1"/>
  <c r="AV422" i="1"/>
  <c r="AV423" i="1" s="1"/>
  <c r="P450" i="1"/>
  <c r="Q450" i="1" s="1"/>
  <c r="AO450" i="1" s="1"/>
  <c r="U450" i="1"/>
  <c r="V459" i="1"/>
  <c r="U459" i="1"/>
  <c r="U464" i="1"/>
  <c r="P464" i="1"/>
  <c r="R464" i="1" s="1"/>
  <c r="AP464" i="1" s="1"/>
  <c r="P475" i="1"/>
  <c r="Q475" i="1" s="1"/>
  <c r="AO475" i="1" s="1"/>
  <c r="V475" i="1"/>
  <c r="S480" i="1"/>
  <c r="T480" i="1" s="1"/>
  <c r="Q480" i="1"/>
  <c r="AO480" i="1" s="1"/>
  <c r="V488" i="1"/>
  <c r="P488" i="1"/>
  <c r="S488" i="1" s="1"/>
  <c r="T488" i="1" s="1"/>
  <c r="V496" i="1"/>
  <c r="P496" i="1"/>
  <c r="S496" i="1" s="1"/>
  <c r="P507" i="1"/>
  <c r="V507" i="1"/>
  <c r="U507" i="1"/>
  <c r="P511" i="1"/>
  <c r="V511" i="1"/>
  <c r="V526" i="1"/>
  <c r="P526" i="1"/>
  <c r="Q526" i="1" s="1"/>
  <c r="AO526" i="1" s="1"/>
  <c r="V538" i="1"/>
  <c r="P538" i="1"/>
  <c r="V546" i="1"/>
  <c r="U546" i="1"/>
  <c r="V550" i="1"/>
  <c r="P550" i="1"/>
  <c r="Q550" i="1" s="1"/>
  <c r="AO550" i="1" s="1"/>
  <c r="P558" i="1"/>
  <c r="S558" i="1" s="1"/>
  <c r="P590" i="1"/>
  <c r="V590" i="1"/>
  <c r="U590" i="1"/>
  <c r="X617" i="1"/>
  <c r="AQ617" i="1" s="1"/>
  <c r="S617" i="1"/>
  <c r="T617" i="1" s="1"/>
  <c r="V630" i="1"/>
  <c r="U630" i="1"/>
  <c r="P630" i="1"/>
  <c r="U784" i="1"/>
  <c r="P784" i="1"/>
  <c r="M193" i="1"/>
  <c r="AC193" i="1"/>
  <c r="AX207" i="1"/>
  <c r="AX208" i="1" s="1"/>
  <c r="I218" i="1"/>
  <c r="Z218" i="1"/>
  <c r="AF218" i="1"/>
  <c r="AV226" i="1"/>
  <c r="M278" i="1"/>
  <c r="W294" i="1"/>
  <c r="O287" i="1"/>
  <c r="AR293" i="1"/>
  <c r="J294" i="1"/>
  <c r="Z294" i="1"/>
  <c r="AR304" i="1"/>
  <c r="AX304" i="1"/>
  <c r="AV304" i="1"/>
  <c r="AV315" i="1" s="1"/>
  <c r="I315" i="1"/>
  <c r="M315" i="1"/>
  <c r="AC315" i="1"/>
  <c r="AW314" i="1"/>
  <c r="AF315" i="1"/>
  <c r="K326" i="1"/>
  <c r="AR325" i="1"/>
  <c r="AR326" i="1" s="1"/>
  <c r="AX325" i="1"/>
  <c r="AX326" i="1" s="1"/>
  <c r="AW325" i="1"/>
  <c r="AW326" i="1" s="1"/>
  <c r="J326" i="1"/>
  <c r="AW338" i="1"/>
  <c r="L358" i="1"/>
  <c r="V348" i="1"/>
  <c r="AX371" i="1"/>
  <c r="P366" i="1"/>
  <c r="Y386" i="1"/>
  <c r="N385" i="1"/>
  <c r="AY385" i="1"/>
  <c r="S380" i="1"/>
  <c r="T380" i="1" s="1"/>
  <c r="L393" i="1"/>
  <c r="L396" i="1" s="1"/>
  <c r="U403" i="1"/>
  <c r="P407" i="1"/>
  <c r="U407" i="1"/>
  <c r="U418" i="1"/>
  <c r="V450" i="1"/>
  <c r="P459" i="1"/>
  <c r="Q459" i="1" s="1"/>
  <c r="AO459" i="1" s="1"/>
  <c r="P465" i="1"/>
  <c r="V465" i="1"/>
  <c r="V468" i="1"/>
  <c r="U468" i="1"/>
  <c r="U475" i="1"/>
  <c r="V508" i="1"/>
  <c r="U508" i="1"/>
  <c r="U511" i="1"/>
  <c r="P519" i="1"/>
  <c r="V519" i="1"/>
  <c r="U519" i="1"/>
  <c r="V530" i="1"/>
  <c r="P530" i="1"/>
  <c r="V534" i="1"/>
  <c r="U534" i="1"/>
  <c r="U538" i="1"/>
  <c r="P546" i="1"/>
  <c r="V570" i="1"/>
  <c r="P570" i="1"/>
  <c r="P578" i="1"/>
  <c r="P594" i="1"/>
  <c r="V594" i="1"/>
  <c r="U594" i="1"/>
  <c r="AX632" i="1"/>
  <c r="K631" i="1"/>
  <c r="L616" i="1"/>
  <c r="L631" i="1" s="1"/>
  <c r="V680" i="1"/>
  <c r="P680" i="1"/>
  <c r="U680" i="1"/>
  <c r="V693" i="1"/>
  <c r="U693" i="1"/>
  <c r="P720" i="1"/>
  <c r="S720" i="1" s="1"/>
  <c r="U720" i="1"/>
  <c r="V720" i="1"/>
  <c r="V750" i="1"/>
  <c r="P750" i="1"/>
  <c r="S750" i="1" s="1"/>
  <c r="AA750" i="1" s="1"/>
  <c r="U750" i="1"/>
  <c r="AS433" i="1"/>
  <c r="AY433" i="1"/>
  <c r="M605" i="1"/>
  <c r="AC605" i="1"/>
  <c r="U476" i="1"/>
  <c r="V479" i="1"/>
  <c r="V503" i="1"/>
  <c r="U512" i="1"/>
  <c r="U522" i="1"/>
  <c r="V582" i="1"/>
  <c r="V586" i="1"/>
  <c r="AR631" i="1"/>
  <c r="V628" i="1"/>
  <c r="R629" i="1"/>
  <c r="AP629" i="1" s="1"/>
  <c r="J662" i="1"/>
  <c r="W662" i="1"/>
  <c r="AD662" i="1"/>
  <c r="V676" i="1"/>
  <c r="U676" i="1"/>
  <c r="P699" i="1"/>
  <c r="U699" i="1"/>
  <c r="V717" i="1"/>
  <c r="P717" i="1"/>
  <c r="U723" i="1"/>
  <c r="U739" i="1"/>
  <c r="P739" i="1"/>
  <c r="R739" i="1" s="1"/>
  <c r="AP739" i="1" s="1"/>
  <c r="V762" i="1"/>
  <c r="U762" i="1"/>
  <c r="U875" i="1"/>
  <c r="V875" i="1"/>
  <c r="P875" i="1"/>
  <c r="N923" i="1"/>
  <c r="O918" i="1"/>
  <c r="N433" i="1"/>
  <c r="AV433" i="1"/>
  <c r="W605" i="1"/>
  <c r="AD605" i="1"/>
  <c r="X479" i="1"/>
  <c r="AQ479" i="1" s="1"/>
  <c r="U504" i="1"/>
  <c r="K604" i="1"/>
  <c r="K605" i="1" s="1"/>
  <c r="AS614" i="1"/>
  <c r="AS632" i="1" s="1"/>
  <c r="AE632" i="1"/>
  <c r="S629" i="1"/>
  <c r="P660" i="1"/>
  <c r="P676" i="1"/>
  <c r="Q676" i="1" s="1"/>
  <c r="AO676" i="1" s="1"/>
  <c r="V686" i="1"/>
  <c r="V699" i="1"/>
  <c r="V707" i="1"/>
  <c r="P707" i="1"/>
  <c r="X707" i="1" s="1"/>
  <c r="AQ707" i="1" s="1"/>
  <c r="U717" i="1"/>
  <c r="V730" i="1"/>
  <c r="P730" i="1"/>
  <c r="X791" i="1"/>
  <c r="AQ791" i="1" s="1"/>
  <c r="S791" i="1"/>
  <c r="Q791" i="1"/>
  <c r="AO791" i="1" s="1"/>
  <c r="V797" i="1"/>
  <c r="P797" i="1"/>
  <c r="R797" i="1" s="1"/>
  <c r="AP797" i="1" s="1"/>
  <c r="U799" i="1"/>
  <c r="P799" i="1"/>
  <c r="V809" i="1"/>
  <c r="U809" i="1"/>
  <c r="P809" i="1"/>
  <c r="U896" i="1"/>
  <c r="V896" i="1"/>
  <c r="P896" i="1"/>
  <c r="R896" i="1" s="1"/>
  <c r="AP896" i="1" s="1"/>
  <c r="Z632" i="1"/>
  <c r="AF632" i="1"/>
  <c r="AX631" i="1"/>
  <c r="AW661" i="1"/>
  <c r="AW662" i="1" s="1"/>
  <c r="U650" i="1"/>
  <c r="U652" i="1"/>
  <c r="P652" i="1"/>
  <c r="V652" i="1"/>
  <c r="P654" i="1"/>
  <c r="U654" i="1"/>
  <c r="V654" i="1"/>
  <c r="P715" i="1"/>
  <c r="S715" i="1" s="1"/>
  <c r="T715" i="1" s="1"/>
  <c r="U715" i="1"/>
  <c r="V734" i="1"/>
  <c r="U734" i="1"/>
  <c r="V738" i="1"/>
  <c r="P738" i="1"/>
  <c r="Q738" i="1" s="1"/>
  <c r="AO738" i="1" s="1"/>
  <c r="V742" i="1"/>
  <c r="U742" i="1"/>
  <c r="P742" i="1"/>
  <c r="R742" i="1" s="1"/>
  <c r="AP742" i="1" s="1"/>
  <c r="V754" i="1"/>
  <c r="U754" i="1"/>
  <c r="P754" i="1"/>
  <c r="P775" i="1"/>
  <c r="S775" i="1" s="1"/>
  <c r="U775" i="1"/>
  <c r="V783" i="1"/>
  <c r="P783" i="1"/>
  <c r="U802" i="1"/>
  <c r="P802" i="1"/>
  <c r="V802" i="1"/>
  <c r="V832" i="1"/>
  <c r="P832" i="1"/>
  <c r="X832" i="1" s="1"/>
  <c r="AQ832" i="1" s="1"/>
  <c r="U832" i="1"/>
  <c r="V705" i="1"/>
  <c r="U747" i="1"/>
  <c r="P747" i="1"/>
  <c r="Q747" i="1" s="1"/>
  <c r="AO747" i="1" s="1"/>
  <c r="V821" i="1"/>
  <c r="U821" i="1"/>
  <c r="AV861" i="1"/>
  <c r="AV864" i="1" s="1"/>
  <c r="AS898" i="1"/>
  <c r="U751" i="1"/>
  <c r="V751" i="1"/>
  <c r="U759" i="1"/>
  <c r="P759" i="1"/>
  <c r="P769" i="1"/>
  <c r="Q773" i="1"/>
  <c r="AO773" i="1" s="1"/>
  <c r="P821" i="1"/>
  <c r="U834" i="1"/>
  <c r="X847" i="1"/>
  <c r="AQ847" i="1" s="1"/>
  <c r="P850" i="1"/>
  <c r="V850" i="1"/>
  <c r="U856" i="1"/>
  <c r="V856" i="1"/>
  <c r="V901" i="1"/>
  <c r="U901" i="1"/>
  <c r="V920" i="1"/>
  <c r="P920" i="1"/>
  <c r="S920" i="1" s="1"/>
  <c r="U735" i="1"/>
  <c r="V747" i="1"/>
  <c r="S773" i="1"/>
  <c r="T773" i="1" s="1"/>
  <c r="V779" i="1"/>
  <c r="U792" i="1"/>
  <c r="V805" i="1"/>
  <c r="V834" i="1"/>
  <c r="V841" i="1"/>
  <c r="P841" i="1"/>
  <c r="R841" i="1" s="1"/>
  <c r="AP841" i="1" s="1"/>
  <c r="P848" i="1"/>
  <c r="P856" i="1"/>
  <c r="X856" i="1" s="1"/>
  <c r="AQ856" i="1" s="1"/>
  <c r="M864" i="1"/>
  <c r="U884" i="1"/>
  <c r="P884" i="1"/>
  <c r="V884" i="1"/>
  <c r="V886" i="1"/>
  <c r="P886" i="1"/>
  <c r="P901" i="1"/>
  <c r="U854" i="1"/>
  <c r="AV887" i="1"/>
  <c r="AV888" i="1" s="1"/>
  <c r="V872" i="1"/>
  <c r="AW898" i="1"/>
  <c r="W905" i="1"/>
  <c r="AS904" i="1"/>
  <c r="AV916" i="1"/>
  <c r="M924" i="1"/>
  <c r="Z924" i="1"/>
  <c r="AF924" i="1"/>
  <c r="AX923" i="1"/>
  <c r="AW923" i="1"/>
  <c r="AW924" i="1" s="1"/>
  <c r="I864" i="1"/>
  <c r="AD864" i="1"/>
  <c r="AX887" i="1"/>
  <c r="AX888" i="1" s="1"/>
  <c r="AE905" i="1"/>
  <c r="AV904" i="1"/>
  <c r="N904" i="1"/>
  <c r="AC905" i="1"/>
  <c r="K904" i="1"/>
  <c r="K905" i="1" s="1"/>
  <c r="U22" i="1"/>
  <c r="P22" i="1"/>
  <c r="V22" i="1"/>
  <c r="S90" i="1"/>
  <c r="R90" i="1"/>
  <c r="AP90" i="1" s="1"/>
  <c r="Q90" i="1"/>
  <c r="AO90" i="1" s="1"/>
  <c r="X90" i="1"/>
  <c r="AQ90" i="1" s="1"/>
  <c r="V132" i="1"/>
  <c r="U132" i="1"/>
  <c r="P132" i="1"/>
  <c r="U10" i="1"/>
  <c r="V10" i="1"/>
  <c r="P10" i="1"/>
  <c r="X129" i="1"/>
  <c r="AQ129" i="1" s="1"/>
  <c r="S129" i="1"/>
  <c r="R129" i="1"/>
  <c r="AP129" i="1" s="1"/>
  <c r="Q129" i="1"/>
  <c r="AO129" i="1" s="1"/>
  <c r="AS36" i="1"/>
  <c r="AB23" i="1"/>
  <c r="AU23" i="1" s="1"/>
  <c r="AA23" i="1"/>
  <c r="AT23" i="1" s="1"/>
  <c r="T23" i="1"/>
  <c r="V15" i="1"/>
  <c r="U15" i="1"/>
  <c r="P15" i="1"/>
  <c r="U108" i="1"/>
  <c r="P108" i="1"/>
  <c r="V108" i="1"/>
  <c r="U62" i="1"/>
  <c r="P62" i="1"/>
  <c r="V62" i="1"/>
  <c r="U96" i="1"/>
  <c r="P96" i="1"/>
  <c r="V96" i="1"/>
  <c r="S112" i="1"/>
  <c r="R112" i="1"/>
  <c r="AP112" i="1" s="1"/>
  <c r="Q112" i="1"/>
  <c r="AO112" i="1" s="1"/>
  <c r="X112" i="1"/>
  <c r="AQ112" i="1" s="1"/>
  <c r="Q13" i="1"/>
  <c r="AO13" i="1" s="1"/>
  <c r="X14" i="1"/>
  <c r="AQ14" i="1" s="1"/>
  <c r="O18" i="1"/>
  <c r="V27" i="1"/>
  <c r="U27" i="1"/>
  <c r="S29" i="1"/>
  <c r="Q29" i="1"/>
  <c r="AO29" i="1" s="1"/>
  <c r="X29" i="1"/>
  <c r="AQ29" i="1" s="1"/>
  <c r="AY50" i="1"/>
  <c r="AR50" i="1"/>
  <c r="S56" i="1"/>
  <c r="X65" i="1"/>
  <c r="AQ65" i="1" s="1"/>
  <c r="S81" i="1"/>
  <c r="R103" i="1"/>
  <c r="AP103" i="1" s="1"/>
  <c r="U122" i="1"/>
  <c r="R152" i="1"/>
  <c r="AP152" i="1" s="1"/>
  <c r="X152" i="1"/>
  <c r="AQ152" i="1" s="1"/>
  <c r="S152" i="1"/>
  <c r="P162" i="1"/>
  <c r="V162" i="1"/>
  <c r="U162" i="1"/>
  <c r="V167" i="1"/>
  <c r="U167" i="1"/>
  <c r="P167" i="1"/>
  <c r="P176" i="1"/>
  <c r="U176" i="1"/>
  <c r="V176" i="1"/>
  <c r="T182" i="1"/>
  <c r="AB182" i="1"/>
  <c r="AU182" i="1" s="1"/>
  <c r="AA182" i="1"/>
  <c r="AT182" i="1" s="1"/>
  <c r="P188" i="1"/>
  <c r="U188" i="1"/>
  <c r="V188" i="1"/>
  <c r="V202" i="1"/>
  <c r="U202" i="1"/>
  <c r="Q228" i="1"/>
  <c r="AO228" i="1" s="1"/>
  <c r="X228" i="1"/>
  <c r="AQ228" i="1" s="1"/>
  <c r="S228" i="1"/>
  <c r="X233" i="1"/>
  <c r="AQ233" i="1" s="1"/>
  <c r="S233" i="1"/>
  <c r="R233" i="1"/>
  <c r="AP233" i="1" s="1"/>
  <c r="V30" i="1"/>
  <c r="U30" i="1"/>
  <c r="S32" i="1"/>
  <c r="R32" i="1"/>
  <c r="AP32" i="1" s="1"/>
  <c r="Q32" i="1"/>
  <c r="AO32" i="1" s="1"/>
  <c r="P94" i="1"/>
  <c r="V94" i="1"/>
  <c r="U94" i="1"/>
  <c r="P174" i="1"/>
  <c r="V174" i="1"/>
  <c r="U174" i="1"/>
  <c r="V216" i="1"/>
  <c r="V217" i="1" s="1"/>
  <c r="O217" i="1"/>
  <c r="U216" i="1"/>
  <c r="U217" i="1" s="1"/>
  <c r="P21" i="1"/>
  <c r="P28" i="1"/>
  <c r="U28" i="1"/>
  <c r="R56" i="1"/>
  <c r="N133" i="1"/>
  <c r="V112" i="1"/>
  <c r="U112" i="1"/>
  <c r="P124" i="1"/>
  <c r="V124" i="1"/>
  <c r="U124" i="1"/>
  <c r="AW192" i="1"/>
  <c r="V214" i="1"/>
  <c r="V215" i="1" s="1"/>
  <c r="O215" i="1"/>
  <c r="U214" i="1"/>
  <c r="U215" i="1" s="1"/>
  <c r="P214" i="1"/>
  <c r="AB236" i="1"/>
  <c r="AU236" i="1" s="1"/>
  <c r="AA236" i="1"/>
  <c r="T236" i="1"/>
  <c r="S252" i="1"/>
  <c r="Q252" i="1"/>
  <c r="AO252" i="1" s="1"/>
  <c r="X252" i="1"/>
  <c r="AQ252" i="1" s="1"/>
  <c r="AW17" i="1"/>
  <c r="Q8" i="1"/>
  <c r="AO8" i="1" s="1"/>
  <c r="X8" i="1"/>
  <c r="AQ8" i="1" s="1"/>
  <c r="U12" i="1"/>
  <c r="AX17" i="1"/>
  <c r="R8" i="1"/>
  <c r="AP8" i="1" s="1"/>
  <c r="AB9" i="1"/>
  <c r="AU9" i="1" s="1"/>
  <c r="V12" i="1"/>
  <c r="R13" i="1"/>
  <c r="AP13" i="1" s="1"/>
  <c r="Z36" i="1"/>
  <c r="U21" i="1"/>
  <c r="P27" i="1"/>
  <c r="R29" i="1"/>
  <c r="AP29" i="1" s="1"/>
  <c r="V34" i="1"/>
  <c r="U34" i="1"/>
  <c r="AC36" i="1"/>
  <c r="K50" i="1"/>
  <c r="S47" i="1"/>
  <c r="R47" i="1"/>
  <c r="AP47" i="1" s="1"/>
  <c r="Q47" i="1"/>
  <c r="AO47" i="1" s="1"/>
  <c r="X47" i="1"/>
  <c r="AQ47" i="1" s="1"/>
  <c r="AW73" i="1"/>
  <c r="AW74" i="1" s="1"/>
  <c r="S72" i="1"/>
  <c r="R72" i="1"/>
  <c r="AP72" i="1" s="1"/>
  <c r="Q72" i="1"/>
  <c r="AO72" i="1" s="1"/>
  <c r="X72" i="1"/>
  <c r="AQ72" i="1" s="1"/>
  <c r="AW82" i="1"/>
  <c r="AW83" i="1" s="1"/>
  <c r="P89" i="1"/>
  <c r="O106" i="1"/>
  <c r="V89" i="1"/>
  <c r="U89" i="1"/>
  <c r="P99" i="1"/>
  <c r="V99" i="1"/>
  <c r="U99" i="1"/>
  <c r="K106" i="1"/>
  <c r="S103" i="1"/>
  <c r="X107" i="1"/>
  <c r="S107" i="1"/>
  <c r="R107" i="1"/>
  <c r="AV133" i="1"/>
  <c r="S109" i="1"/>
  <c r="R109" i="1"/>
  <c r="AP109" i="1" s="1"/>
  <c r="Q109" i="1"/>
  <c r="AO109" i="1" s="1"/>
  <c r="X109" i="1"/>
  <c r="AQ109" i="1" s="1"/>
  <c r="P111" i="1"/>
  <c r="V111" i="1"/>
  <c r="U111" i="1"/>
  <c r="V117" i="1"/>
  <c r="U117" i="1"/>
  <c r="P119" i="1"/>
  <c r="V119" i="1"/>
  <c r="U119" i="1"/>
  <c r="V122" i="1"/>
  <c r="S126" i="1"/>
  <c r="P128" i="1"/>
  <c r="V128" i="1"/>
  <c r="U128" i="1"/>
  <c r="S142" i="1"/>
  <c r="R142" i="1"/>
  <c r="AP142" i="1" s="1"/>
  <c r="Q142" i="1"/>
  <c r="AO142" i="1" s="1"/>
  <c r="X142" i="1"/>
  <c r="AQ142" i="1" s="1"/>
  <c r="Q152" i="1"/>
  <c r="AO152" i="1" s="1"/>
  <c r="Q159" i="1"/>
  <c r="AO159" i="1" s="1"/>
  <c r="X159" i="1"/>
  <c r="AQ159" i="1" s="1"/>
  <c r="S159" i="1"/>
  <c r="P202" i="1"/>
  <c r="R228" i="1"/>
  <c r="AP228" i="1" s="1"/>
  <c r="Q233" i="1"/>
  <c r="AO233" i="1" s="1"/>
  <c r="AB245" i="1"/>
  <c r="AU245" i="1" s="1"/>
  <c r="AA245" i="1"/>
  <c r="AT245" i="1" s="1"/>
  <c r="T245" i="1"/>
  <c r="V246" i="1"/>
  <c r="U246" i="1"/>
  <c r="P246" i="1"/>
  <c r="AB270" i="1"/>
  <c r="AU270" i="1" s="1"/>
  <c r="AA270" i="1"/>
  <c r="AT270" i="1" s="1"/>
  <c r="AB12" i="1"/>
  <c r="AU12" i="1" s="1"/>
  <c r="AA12" i="1"/>
  <c r="AT12" i="1" s="1"/>
  <c r="AA60" i="1"/>
  <c r="T60" i="1"/>
  <c r="P70" i="1"/>
  <c r="V70" i="1"/>
  <c r="U70" i="1"/>
  <c r="AF81" i="1"/>
  <c r="Q81" i="1"/>
  <c r="AO81" i="1" s="1"/>
  <c r="X81" i="1"/>
  <c r="AQ81" i="1" s="1"/>
  <c r="P98" i="1"/>
  <c r="V98" i="1"/>
  <c r="U98" i="1"/>
  <c r="Q240" i="1"/>
  <c r="AO240" i="1" s="1"/>
  <c r="X240" i="1"/>
  <c r="AQ240" i="1" s="1"/>
  <c r="S240" i="1"/>
  <c r="R240" i="1"/>
  <c r="AP240" i="1" s="1"/>
  <c r="S262" i="1"/>
  <c r="X262" i="1"/>
  <c r="AQ262" i="1" s="1"/>
  <c r="R262" i="1"/>
  <c r="AP262" i="1" s="1"/>
  <c r="Q262" i="1"/>
  <c r="AO262" i="1" s="1"/>
  <c r="P30" i="1"/>
  <c r="R81" i="1"/>
  <c r="AP81" i="1" s="1"/>
  <c r="P115" i="1"/>
  <c r="V115" i="1"/>
  <c r="U115" i="1"/>
  <c r="S122" i="1"/>
  <c r="R122" i="1"/>
  <c r="AP122" i="1" s="1"/>
  <c r="Q122" i="1"/>
  <c r="AO122" i="1" s="1"/>
  <c r="X122" i="1"/>
  <c r="AQ122" i="1" s="1"/>
  <c r="V129" i="1"/>
  <c r="U129" i="1"/>
  <c r="AY157" i="1"/>
  <c r="S8" i="1"/>
  <c r="V9" i="1"/>
  <c r="V17" i="1" s="1"/>
  <c r="U9" i="1"/>
  <c r="S13" i="1"/>
  <c r="Q16" i="1"/>
  <c r="AO16" i="1" s="1"/>
  <c r="X16" i="1"/>
  <c r="AQ16" i="1" s="1"/>
  <c r="X19" i="1"/>
  <c r="AQ19" i="1" s="1"/>
  <c r="S26" i="1"/>
  <c r="Q26" i="1"/>
  <c r="AO26" i="1" s="1"/>
  <c r="X26" i="1"/>
  <c r="AQ26" i="1" s="1"/>
  <c r="V28" i="1"/>
  <c r="U29" i="1"/>
  <c r="AG34" i="1"/>
  <c r="AZ34" i="1" s="1"/>
  <c r="R34" i="1"/>
  <c r="AP34" i="1" s="1"/>
  <c r="Q34" i="1"/>
  <c r="AO34" i="1" s="1"/>
  <c r="X34" i="1"/>
  <c r="AQ34" i="1" s="1"/>
  <c r="L50" i="1"/>
  <c r="P46" i="1"/>
  <c r="V46" i="1"/>
  <c r="U46" i="1"/>
  <c r="U49" i="1" s="1"/>
  <c r="U58" i="1"/>
  <c r="P58" i="1"/>
  <c r="S61" i="1"/>
  <c r="R61" i="1"/>
  <c r="AP61" i="1" s="1"/>
  <c r="AF64" i="1"/>
  <c r="AY64" i="1" s="1"/>
  <c r="Q64" i="1"/>
  <c r="AO64" i="1" s="1"/>
  <c r="X64" i="1"/>
  <c r="AQ64" i="1" s="1"/>
  <c r="AE74" i="1"/>
  <c r="AX73" i="1"/>
  <c r="AX74" i="1" s="1"/>
  <c r="S69" i="1"/>
  <c r="R69" i="1"/>
  <c r="AP69" i="1" s="1"/>
  <c r="Q69" i="1"/>
  <c r="AO69" i="1" s="1"/>
  <c r="X69" i="1"/>
  <c r="AQ69" i="1" s="1"/>
  <c r="P71" i="1"/>
  <c r="V71" i="1"/>
  <c r="U71" i="1"/>
  <c r="P93" i="1"/>
  <c r="V93" i="1"/>
  <c r="U93" i="1"/>
  <c r="S97" i="1"/>
  <c r="R97" i="1"/>
  <c r="AP97" i="1" s="1"/>
  <c r="Q97" i="1"/>
  <c r="AO97" i="1" s="1"/>
  <c r="X97" i="1"/>
  <c r="AQ97" i="1" s="1"/>
  <c r="L106" i="1"/>
  <c r="Q102" i="1"/>
  <c r="AO102" i="1" s="1"/>
  <c r="X102" i="1"/>
  <c r="AQ102" i="1" s="1"/>
  <c r="AO107" i="1"/>
  <c r="AW133" i="1"/>
  <c r="V114" i="1"/>
  <c r="U114" i="1"/>
  <c r="S117" i="1"/>
  <c r="R117" i="1"/>
  <c r="AP117" i="1" s="1"/>
  <c r="Q117" i="1"/>
  <c r="AO117" i="1" s="1"/>
  <c r="V131" i="1"/>
  <c r="U131" i="1"/>
  <c r="P131" i="1"/>
  <c r="AR157" i="1"/>
  <c r="AV192" i="1"/>
  <c r="X168" i="1"/>
  <c r="AQ168" i="1" s="1"/>
  <c r="S168" i="1"/>
  <c r="R168" i="1"/>
  <c r="AP168" i="1" s="1"/>
  <c r="Q168" i="1"/>
  <c r="AO168" i="1" s="1"/>
  <c r="V189" i="1"/>
  <c r="U189" i="1"/>
  <c r="P189" i="1"/>
  <c r="P191" i="1"/>
  <c r="U191" i="1"/>
  <c r="V191" i="1"/>
  <c r="AB205" i="1"/>
  <c r="AU205" i="1" s="1"/>
  <c r="AA205" i="1"/>
  <c r="AT205" i="1" s="1"/>
  <c r="T205" i="1"/>
  <c r="V14" i="1"/>
  <c r="U14" i="1"/>
  <c r="AV35" i="1"/>
  <c r="V29" i="1"/>
  <c r="S33" i="1"/>
  <c r="Q33" i="1"/>
  <c r="AO33" i="1" s="1"/>
  <c r="X33" i="1"/>
  <c r="AQ33" i="1" s="1"/>
  <c r="N49" i="1"/>
  <c r="N50" i="1" s="1"/>
  <c r="AR66" i="1"/>
  <c r="AX106" i="1"/>
  <c r="U91" i="1"/>
  <c r="P91" i="1"/>
  <c r="U105" i="1"/>
  <c r="P105" i="1"/>
  <c r="K133" i="1"/>
  <c r="L113" i="1"/>
  <c r="L133" i="1" s="1"/>
  <c r="S114" i="1"/>
  <c r="R114" i="1"/>
  <c r="AP114" i="1" s="1"/>
  <c r="Q114" i="1"/>
  <c r="AO114" i="1" s="1"/>
  <c r="P116" i="1"/>
  <c r="V116" i="1"/>
  <c r="U116" i="1"/>
  <c r="V121" i="1"/>
  <c r="U121" i="1"/>
  <c r="P123" i="1"/>
  <c r="V123" i="1"/>
  <c r="U123" i="1"/>
  <c r="P146" i="1"/>
  <c r="V146" i="1"/>
  <c r="U146" i="1"/>
  <c r="V160" i="1"/>
  <c r="U160" i="1"/>
  <c r="P160" i="1"/>
  <c r="AB171" i="1"/>
  <c r="AU171" i="1" s="1"/>
  <c r="AA171" i="1"/>
  <c r="AT171" i="1" s="1"/>
  <c r="U238" i="1"/>
  <c r="P238" i="1"/>
  <c r="V238" i="1"/>
  <c r="U250" i="1"/>
  <c r="V250" i="1"/>
  <c r="P250" i="1"/>
  <c r="AB332" i="1"/>
  <c r="AA332" i="1"/>
  <c r="T332" i="1"/>
  <c r="S11" i="1"/>
  <c r="R11" i="1"/>
  <c r="AP11" i="1" s="1"/>
  <c r="Q11" i="1"/>
  <c r="AO11" i="1" s="1"/>
  <c r="AD930" i="1"/>
  <c r="AD36" i="1"/>
  <c r="K35" i="1"/>
  <c r="K36" i="1" s="1"/>
  <c r="L23" i="1"/>
  <c r="L35" i="1" s="1"/>
  <c r="L36" i="1" s="1"/>
  <c r="P24" i="1"/>
  <c r="U24" i="1"/>
  <c r="V25" i="1"/>
  <c r="U25" i="1"/>
  <c r="AS66" i="1"/>
  <c r="AS74" i="1" s="1"/>
  <c r="X57" i="1"/>
  <c r="AQ57" i="1" s="1"/>
  <c r="S57" i="1"/>
  <c r="R57" i="1"/>
  <c r="AP57" i="1" s="1"/>
  <c r="AF60" i="1"/>
  <c r="AY60" i="1" s="1"/>
  <c r="Q60" i="1"/>
  <c r="AO60" i="1" s="1"/>
  <c r="X60" i="1"/>
  <c r="AQ60" i="1" s="1"/>
  <c r="S63" i="1"/>
  <c r="R63" i="1"/>
  <c r="AP63" i="1" s="1"/>
  <c r="AF63" i="1"/>
  <c r="AY63" i="1" s="1"/>
  <c r="Q63" i="1"/>
  <c r="AO63" i="1" s="1"/>
  <c r="X63" i="1"/>
  <c r="AQ63" i="1" s="1"/>
  <c r="AA64" i="1"/>
  <c r="T64" i="1"/>
  <c r="AF65" i="1"/>
  <c r="AY65" i="1" s="1"/>
  <c r="V95" i="1"/>
  <c r="U95" i="1"/>
  <c r="U101" i="1"/>
  <c r="P101" i="1"/>
  <c r="AY133" i="1"/>
  <c r="P113" i="1"/>
  <c r="V113" i="1"/>
  <c r="U113" i="1"/>
  <c r="P121" i="1"/>
  <c r="N157" i="1"/>
  <c r="P153" i="1"/>
  <c r="U153" i="1"/>
  <c r="T171" i="1"/>
  <c r="V177" i="1"/>
  <c r="U177" i="1"/>
  <c r="P235" i="1"/>
  <c r="V235" i="1"/>
  <c r="U235" i="1"/>
  <c r="V309" i="1"/>
  <c r="U309" i="1"/>
  <c r="P309" i="1"/>
  <c r="P312" i="1"/>
  <c r="V312" i="1"/>
  <c r="U312" i="1"/>
  <c r="W930" i="1"/>
  <c r="W36" i="1"/>
  <c r="AG23" i="1"/>
  <c r="AZ23" i="1" s="1"/>
  <c r="R23" i="1"/>
  <c r="AP23" i="1" s="1"/>
  <c r="Q23" i="1"/>
  <c r="AO23" i="1" s="1"/>
  <c r="X23" i="1"/>
  <c r="AQ23" i="1" s="1"/>
  <c r="AF56" i="1"/>
  <c r="Q56" i="1"/>
  <c r="X56" i="1"/>
  <c r="S59" i="1"/>
  <c r="R59" i="1"/>
  <c r="AP59" i="1" s="1"/>
  <c r="AF59" i="1"/>
  <c r="AY59" i="1" s="1"/>
  <c r="Q59" i="1"/>
  <c r="AO59" i="1" s="1"/>
  <c r="X59" i="1"/>
  <c r="AQ59" i="1" s="1"/>
  <c r="V68" i="1"/>
  <c r="U68" i="1"/>
  <c r="S125" i="1"/>
  <c r="R125" i="1"/>
  <c r="AP125" i="1" s="1"/>
  <c r="Q125" i="1"/>
  <c r="AO125" i="1" s="1"/>
  <c r="AB140" i="1"/>
  <c r="P150" i="1"/>
  <c r="U150" i="1"/>
  <c r="V150" i="1"/>
  <c r="P273" i="1"/>
  <c r="V273" i="1"/>
  <c r="U273" i="1"/>
  <c r="U429" i="1"/>
  <c r="O433" i="1"/>
  <c r="P429" i="1"/>
  <c r="V429" i="1"/>
  <c r="V859" i="1"/>
  <c r="U859" i="1"/>
  <c r="P859" i="1"/>
  <c r="AV17" i="1"/>
  <c r="P68" i="1"/>
  <c r="V90" i="1"/>
  <c r="U90" i="1"/>
  <c r="AB100" i="1"/>
  <c r="AU100" i="1" s="1"/>
  <c r="AA100" i="1"/>
  <c r="AT100" i="1" s="1"/>
  <c r="T100" i="1"/>
  <c r="Q103" i="1"/>
  <c r="AO103" i="1" s="1"/>
  <c r="X103" i="1"/>
  <c r="AQ103" i="1" s="1"/>
  <c r="X125" i="1"/>
  <c r="AQ125" i="1" s="1"/>
  <c r="T140" i="1"/>
  <c r="R147" i="1"/>
  <c r="AP147" i="1" s="1"/>
  <c r="X147" i="1"/>
  <c r="AQ147" i="1" s="1"/>
  <c r="S169" i="1"/>
  <c r="R169" i="1"/>
  <c r="AP169" i="1" s="1"/>
  <c r="X169" i="1"/>
  <c r="AQ169" i="1" s="1"/>
  <c r="P216" i="1"/>
  <c r="U243" i="1"/>
  <c r="P243" i="1"/>
  <c r="V243" i="1"/>
  <c r="R12" i="1"/>
  <c r="AP12" i="1" s="1"/>
  <c r="Q12" i="1"/>
  <c r="AO12" i="1" s="1"/>
  <c r="AE930" i="1"/>
  <c r="AE36" i="1"/>
  <c r="AX35" i="1"/>
  <c r="P20" i="1"/>
  <c r="V20" i="1"/>
  <c r="U20" i="1"/>
  <c r="V23" i="1"/>
  <c r="U23" i="1"/>
  <c r="S25" i="1"/>
  <c r="R25" i="1"/>
  <c r="AP25" i="1" s="1"/>
  <c r="Q25" i="1"/>
  <c r="AO25" i="1" s="1"/>
  <c r="P31" i="1"/>
  <c r="U31" i="1"/>
  <c r="V32" i="1"/>
  <c r="U32" i="1"/>
  <c r="U43" i="1"/>
  <c r="P43" i="1"/>
  <c r="P45" i="1"/>
  <c r="O49" i="1"/>
  <c r="AX49" i="1"/>
  <c r="AX50" i="1" s="1"/>
  <c r="P48" i="1"/>
  <c r="V48" i="1"/>
  <c r="U48" i="1"/>
  <c r="N66" i="1"/>
  <c r="N74" i="1" s="1"/>
  <c r="AR73" i="1"/>
  <c r="S95" i="1"/>
  <c r="R95" i="1"/>
  <c r="AP95" i="1" s="1"/>
  <c r="Q95" i="1"/>
  <c r="AO95" i="1" s="1"/>
  <c r="Q100" i="1"/>
  <c r="AO100" i="1" s="1"/>
  <c r="X100" i="1"/>
  <c r="AQ100" i="1" s="1"/>
  <c r="X104" i="1"/>
  <c r="AQ104" i="1" s="1"/>
  <c r="S104" i="1"/>
  <c r="R104" i="1"/>
  <c r="AP104" i="1" s="1"/>
  <c r="P110" i="1"/>
  <c r="V110" i="1"/>
  <c r="U110" i="1"/>
  <c r="S118" i="1"/>
  <c r="R118" i="1"/>
  <c r="AP118" i="1" s="1"/>
  <c r="Q118" i="1"/>
  <c r="AO118" i="1" s="1"/>
  <c r="X118" i="1"/>
  <c r="AQ118" i="1" s="1"/>
  <c r="P120" i="1"/>
  <c r="V120" i="1"/>
  <c r="U120" i="1"/>
  <c r="V125" i="1"/>
  <c r="U125" i="1"/>
  <c r="P127" i="1"/>
  <c r="V127" i="1"/>
  <c r="U127" i="1"/>
  <c r="U130" i="1"/>
  <c r="V130" i="1"/>
  <c r="P130" i="1"/>
  <c r="AW157" i="1"/>
  <c r="AS157" i="1"/>
  <c r="V143" i="1"/>
  <c r="U143" i="1"/>
  <c r="P143" i="1"/>
  <c r="U161" i="1"/>
  <c r="P161" i="1"/>
  <c r="V161" i="1"/>
  <c r="P172" i="1"/>
  <c r="U172" i="1"/>
  <c r="V172" i="1"/>
  <c r="S177" i="1"/>
  <c r="R177" i="1"/>
  <c r="AP177" i="1" s="1"/>
  <c r="Q177" i="1"/>
  <c r="AO177" i="1" s="1"/>
  <c r="X177" i="1"/>
  <c r="AQ177" i="1" s="1"/>
  <c r="P178" i="1"/>
  <c r="V178" i="1"/>
  <c r="U178" i="1"/>
  <c r="AY277" i="1"/>
  <c r="AY278" i="1" s="1"/>
  <c r="V13" i="1"/>
  <c r="Y930" i="1"/>
  <c r="V19" i="1"/>
  <c r="W931" i="1"/>
  <c r="AE931" i="1"/>
  <c r="V59" i="1"/>
  <c r="V63" i="1"/>
  <c r="V80" i="1"/>
  <c r="V92" i="1"/>
  <c r="V102" i="1"/>
  <c r="U140" i="1"/>
  <c r="S144" i="1"/>
  <c r="V148" i="1"/>
  <c r="W193" i="1"/>
  <c r="AX192" i="1"/>
  <c r="AX193" i="1" s="1"/>
  <c r="AA163" i="1"/>
  <c r="AT163" i="1" s="1"/>
  <c r="U164" i="1"/>
  <c r="V166" i="1"/>
  <c r="R179" i="1"/>
  <c r="AP179" i="1" s="1"/>
  <c r="X179" i="1"/>
  <c r="AQ179" i="1" s="1"/>
  <c r="V182" i="1"/>
  <c r="S186" i="1"/>
  <c r="Q186" i="1"/>
  <c r="AO186" i="1" s="1"/>
  <c r="X186" i="1"/>
  <c r="AQ186" i="1" s="1"/>
  <c r="X187" i="1"/>
  <c r="AQ187" i="1" s="1"/>
  <c r="X190" i="1"/>
  <c r="AQ190" i="1" s="1"/>
  <c r="K192" i="1"/>
  <c r="K193" i="1" s="1"/>
  <c r="P204" i="1"/>
  <c r="V204" i="1"/>
  <c r="V237" i="1"/>
  <c r="U237" i="1"/>
  <c r="P274" i="1"/>
  <c r="U274" i="1"/>
  <c r="V274" i="1"/>
  <c r="AX294" i="1"/>
  <c r="V292" i="1"/>
  <c r="U292" i="1"/>
  <c r="U551" i="1"/>
  <c r="P551" i="1"/>
  <c r="V551" i="1"/>
  <c r="Z930" i="1"/>
  <c r="Z936" i="1" s="1"/>
  <c r="AF931" i="1"/>
  <c r="U56" i="1"/>
  <c r="U60" i="1"/>
  <c r="U64" i="1"/>
  <c r="U81" i="1"/>
  <c r="O82" i="1"/>
  <c r="O83" i="1" s="1"/>
  <c r="U100" i="1"/>
  <c r="U103" i="1"/>
  <c r="O133" i="1"/>
  <c r="V140" i="1"/>
  <c r="X141" i="1"/>
  <c r="AQ141" i="1" s="1"/>
  <c r="U144" i="1"/>
  <c r="R149" i="1"/>
  <c r="AP149" i="1" s="1"/>
  <c r="U154" i="1"/>
  <c r="N192" i="1"/>
  <c r="O158" i="1"/>
  <c r="AY192" i="1"/>
  <c r="U169" i="1"/>
  <c r="P184" i="1"/>
  <c r="U184" i="1"/>
  <c r="P200" i="1"/>
  <c r="V200" i="1"/>
  <c r="P201" i="1"/>
  <c r="V201" i="1"/>
  <c r="U201" i="1"/>
  <c r="V206" i="1"/>
  <c r="U206" i="1"/>
  <c r="U230" i="1"/>
  <c r="P230" i="1"/>
  <c r="Q232" i="1"/>
  <c r="AO232" i="1" s="1"/>
  <c r="X232" i="1"/>
  <c r="AQ232" i="1" s="1"/>
  <c r="X237" i="1"/>
  <c r="AQ237" i="1" s="1"/>
  <c r="S237" i="1"/>
  <c r="R237" i="1"/>
  <c r="AP237" i="1" s="1"/>
  <c r="P253" i="1"/>
  <c r="V253" i="1"/>
  <c r="U253" i="1"/>
  <c r="V256" i="1"/>
  <c r="U256" i="1"/>
  <c r="V266" i="1"/>
  <c r="U266" i="1"/>
  <c r="P266" i="1"/>
  <c r="X292" i="1"/>
  <c r="AQ292" i="1" s="1"/>
  <c r="S292" i="1"/>
  <c r="R292" i="1"/>
  <c r="AP292" i="1" s="1"/>
  <c r="Q292" i="1"/>
  <c r="AO292" i="1" s="1"/>
  <c r="AR314" i="1"/>
  <c r="AR315" i="1" s="1"/>
  <c r="V306" i="1"/>
  <c r="U306" i="1"/>
  <c r="P306" i="1"/>
  <c r="V374" i="1"/>
  <c r="U374" i="1"/>
  <c r="P374" i="1"/>
  <c r="P393" i="1"/>
  <c r="V393" i="1"/>
  <c r="U393" i="1"/>
  <c r="U523" i="1"/>
  <c r="P523" i="1"/>
  <c r="V523" i="1"/>
  <c r="V56" i="1"/>
  <c r="V60" i="1"/>
  <c r="V64" i="1"/>
  <c r="V81" i="1"/>
  <c r="V100" i="1"/>
  <c r="V103" i="1"/>
  <c r="AX133" i="1"/>
  <c r="V144" i="1"/>
  <c r="U147" i="1"/>
  <c r="Q149" i="1"/>
  <c r="AO149" i="1" s="1"/>
  <c r="R155" i="1"/>
  <c r="AP155" i="1" s="1"/>
  <c r="Z193" i="1"/>
  <c r="V163" i="1"/>
  <c r="U163" i="1"/>
  <c r="P165" i="1"/>
  <c r="R170" i="1"/>
  <c r="AP170" i="1" s="1"/>
  <c r="R175" i="1"/>
  <c r="AP175" i="1" s="1"/>
  <c r="X175" i="1"/>
  <c r="AQ175" i="1" s="1"/>
  <c r="V185" i="1"/>
  <c r="U185" i="1"/>
  <c r="U186" i="1"/>
  <c r="T190" i="1"/>
  <c r="AS207" i="1"/>
  <c r="AS208" i="1" s="1"/>
  <c r="P206" i="1"/>
  <c r="AX277" i="1"/>
  <c r="V229" i="1"/>
  <c r="U229" i="1"/>
  <c r="V230" i="1"/>
  <c r="R232" i="1"/>
  <c r="AP232" i="1" s="1"/>
  <c r="Q237" i="1"/>
  <c r="AO237" i="1" s="1"/>
  <c r="P239" i="1"/>
  <c r="V239" i="1"/>
  <c r="S242" i="1"/>
  <c r="R242" i="1"/>
  <c r="AP242" i="1" s="1"/>
  <c r="Q242" i="1"/>
  <c r="AO242" i="1" s="1"/>
  <c r="V244" i="1"/>
  <c r="U244" i="1"/>
  <c r="P244" i="1"/>
  <c r="U251" i="1"/>
  <c r="V251" i="1"/>
  <c r="P256" i="1"/>
  <c r="P267" i="1"/>
  <c r="V267" i="1"/>
  <c r="U267" i="1"/>
  <c r="P271" i="1"/>
  <c r="U271" i="1"/>
  <c r="V271" i="1"/>
  <c r="P285" i="1"/>
  <c r="V285" i="1"/>
  <c r="V286" i="1" s="1"/>
  <c r="U285" i="1"/>
  <c r="U286" i="1" s="1"/>
  <c r="AS293" i="1"/>
  <c r="V325" i="1"/>
  <c r="X337" i="1"/>
  <c r="AQ337" i="1" s="1"/>
  <c r="S337" i="1"/>
  <c r="R337" i="1"/>
  <c r="AP337" i="1" s="1"/>
  <c r="Q337" i="1"/>
  <c r="AO337" i="1" s="1"/>
  <c r="O66" i="1"/>
  <c r="U104" i="1"/>
  <c r="N106" i="1"/>
  <c r="AD134" i="1"/>
  <c r="U107" i="1"/>
  <c r="AV157" i="1"/>
  <c r="R145" i="1"/>
  <c r="AP145" i="1" s="1"/>
  <c r="T155" i="1"/>
  <c r="AB155" i="1"/>
  <c r="AU155" i="1" s="1"/>
  <c r="AA155" i="1"/>
  <c r="O157" i="1"/>
  <c r="AR192" i="1"/>
  <c r="S166" i="1"/>
  <c r="X166" i="1"/>
  <c r="AQ166" i="1" s="1"/>
  <c r="T170" i="1"/>
  <c r="AB170" i="1"/>
  <c r="AU170" i="1" s="1"/>
  <c r="AA170" i="1"/>
  <c r="P180" i="1"/>
  <c r="U180" i="1"/>
  <c r="S185" i="1"/>
  <c r="R185" i="1"/>
  <c r="AP185" i="1" s="1"/>
  <c r="Q185" i="1"/>
  <c r="AO185" i="1" s="1"/>
  <c r="AV218" i="1"/>
  <c r="N226" i="1"/>
  <c r="X229" i="1"/>
  <c r="AQ229" i="1" s="1"/>
  <c r="S229" i="1"/>
  <c r="R229" i="1"/>
  <c r="AP229" i="1" s="1"/>
  <c r="S232" i="1"/>
  <c r="V241" i="1"/>
  <c r="U241" i="1"/>
  <c r="S251" i="1"/>
  <c r="X251" i="1"/>
  <c r="AQ251" i="1" s="1"/>
  <c r="R251" i="1"/>
  <c r="AP251" i="1" s="1"/>
  <c r="Q251" i="1"/>
  <c r="AO251" i="1" s="1"/>
  <c r="U334" i="1"/>
  <c r="P334" i="1"/>
  <c r="V334" i="1"/>
  <c r="O67" i="1"/>
  <c r="Q140" i="1"/>
  <c r="Q141" i="1"/>
  <c r="AO141" i="1" s="1"/>
  <c r="Q145" i="1"/>
  <c r="AO145" i="1" s="1"/>
  <c r="R151" i="1"/>
  <c r="AP151" i="1" s="1"/>
  <c r="R163" i="1"/>
  <c r="AP163" i="1" s="1"/>
  <c r="R171" i="1"/>
  <c r="AP171" i="1" s="1"/>
  <c r="X171" i="1"/>
  <c r="AQ171" i="1" s="1"/>
  <c r="S173" i="1"/>
  <c r="R173" i="1"/>
  <c r="AP173" i="1" s="1"/>
  <c r="Q182" i="1"/>
  <c r="AO182" i="1" s="1"/>
  <c r="X182" i="1"/>
  <c r="AQ182" i="1" s="1"/>
  <c r="O199" i="1"/>
  <c r="Q229" i="1"/>
  <c r="AO229" i="1" s="1"/>
  <c r="P231" i="1"/>
  <c r="V231" i="1"/>
  <c r="U234" i="1"/>
  <c r="P234" i="1"/>
  <c r="Q236" i="1"/>
  <c r="AO236" i="1" s="1"/>
  <c r="X236" i="1"/>
  <c r="AQ236" i="1" s="1"/>
  <c r="X241" i="1"/>
  <c r="AQ241" i="1" s="1"/>
  <c r="S241" i="1"/>
  <c r="R241" i="1"/>
  <c r="AP241" i="1" s="1"/>
  <c r="Q245" i="1"/>
  <c r="AO245" i="1" s="1"/>
  <c r="X245" i="1"/>
  <c r="V259" i="1"/>
  <c r="U259" i="1"/>
  <c r="P259" i="1"/>
  <c r="P268" i="1"/>
  <c r="U268" i="1"/>
  <c r="V268" i="1"/>
  <c r="V343" i="1"/>
  <c r="U343" i="1"/>
  <c r="P343" i="1"/>
  <c r="P346" i="1"/>
  <c r="V346" i="1"/>
  <c r="U346" i="1"/>
  <c r="AB349" i="1"/>
  <c r="AU349" i="1" s="1"/>
  <c r="AA349" i="1"/>
  <c r="AT349" i="1" s="1"/>
  <c r="T349" i="1"/>
  <c r="X432" i="1"/>
  <c r="AQ432" i="1" s="1"/>
  <c r="S432" i="1"/>
  <c r="R432" i="1"/>
  <c r="AP432" i="1" s="1"/>
  <c r="Q432" i="1"/>
  <c r="AO432" i="1" s="1"/>
  <c r="R140" i="1"/>
  <c r="S145" i="1"/>
  <c r="V159" i="1"/>
  <c r="U159" i="1"/>
  <c r="P181" i="1"/>
  <c r="R182" i="1"/>
  <c r="AP182" i="1" s="1"/>
  <c r="U203" i="1"/>
  <c r="P203" i="1"/>
  <c r="Q205" i="1"/>
  <c r="AO205" i="1" s="1"/>
  <c r="X205" i="1"/>
  <c r="AQ205" i="1" s="1"/>
  <c r="P224" i="1"/>
  <c r="O226" i="1"/>
  <c r="V233" i="1"/>
  <c r="U233" i="1"/>
  <c r="T255" i="1"/>
  <c r="AB255" i="1"/>
  <c r="AU255" i="1" s="1"/>
  <c r="AA255" i="1"/>
  <c r="AT255" i="1" s="1"/>
  <c r="U262" i="1"/>
  <c r="V262" i="1"/>
  <c r="AB264" i="1"/>
  <c r="AU264" i="1" s="1"/>
  <c r="AA264" i="1"/>
  <c r="AT264" i="1" s="1"/>
  <c r="V272" i="1"/>
  <c r="U272" i="1"/>
  <c r="P272" i="1"/>
  <c r="N304" i="1"/>
  <c r="O301" i="1"/>
  <c r="O357" i="1"/>
  <c r="P340" i="1"/>
  <c r="V340" i="1"/>
  <c r="O365" i="1"/>
  <c r="N371" i="1"/>
  <c r="X370" i="1"/>
  <c r="AQ370" i="1" s="1"/>
  <c r="S370" i="1"/>
  <c r="R370" i="1"/>
  <c r="AP370" i="1" s="1"/>
  <c r="Q370" i="1"/>
  <c r="AO370" i="1" s="1"/>
  <c r="S382" i="1"/>
  <c r="R382" i="1"/>
  <c r="AP382" i="1" s="1"/>
  <c r="Q382" i="1"/>
  <c r="AO382" i="1" s="1"/>
  <c r="X382" i="1"/>
  <c r="AQ382" i="1" s="1"/>
  <c r="P469" i="1"/>
  <c r="U469" i="1"/>
  <c r="V469" i="1"/>
  <c r="N277" i="1"/>
  <c r="V248" i="1"/>
  <c r="K277" i="1"/>
  <c r="K278" i="1" s="1"/>
  <c r="U252" i="1"/>
  <c r="U264" i="1"/>
  <c r="Q276" i="1"/>
  <c r="AO276" i="1" s="1"/>
  <c r="AR294" i="1"/>
  <c r="Q303" i="1"/>
  <c r="X303" i="1"/>
  <c r="AQ303" i="1" s="1"/>
  <c r="S348" i="1"/>
  <c r="R348" i="1"/>
  <c r="AP348" i="1" s="1"/>
  <c r="Q348" i="1"/>
  <c r="AO348" i="1" s="1"/>
  <c r="X348" i="1"/>
  <c r="AQ348" i="1" s="1"/>
  <c r="V355" i="1"/>
  <c r="U355" i="1"/>
  <c r="P355" i="1"/>
  <c r="X384" i="1"/>
  <c r="AQ384" i="1" s="1"/>
  <c r="S384" i="1"/>
  <c r="R384" i="1"/>
  <c r="AP384" i="1" s="1"/>
  <c r="AW422" i="1"/>
  <c r="AW423" i="1" s="1"/>
  <c r="P399" i="1"/>
  <c r="V399" i="1"/>
  <c r="U399" i="1"/>
  <c r="P434" i="1"/>
  <c r="V434" i="1"/>
  <c r="U434" i="1"/>
  <c r="P448" i="1"/>
  <c r="V448" i="1"/>
  <c r="U448" i="1"/>
  <c r="V474" i="1"/>
  <c r="U474" i="1"/>
  <c r="P474" i="1"/>
  <c r="AB492" i="1"/>
  <c r="AU492" i="1" s="1"/>
  <c r="AA492" i="1"/>
  <c r="AT492" i="1" s="1"/>
  <c r="T492" i="1"/>
  <c r="U205" i="1"/>
  <c r="AF278" i="1"/>
  <c r="O227" i="1"/>
  <c r="AS277" i="1"/>
  <c r="AS278" i="1" s="1"/>
  <c r="U228" i="1"/>
  <c r="U232" i="1"/>
  <c r="U236" i="1"/>
  <c r="U240" i="1"/>
  <c r="U245" i="1"/>
  <c r="L249" i="1"/>
  <c r="L277" i="1" s="1"/>
  <c r="L278" i="1" s="1"/>
  <c r="V252" i="1"/>
  <c r="V264" i="1"/>
  <c r="Q265" i="1"/>
  <c r="AO265" i="1" s="1"/>
  <c r="R276" i="1"/>
  <c r="AP276" i="1" s="1"/>
  <c r="AS294" i="1"/>
  <c r="V300" i="1"/>
  <c r="U300" i="1"/>
  <c r="R303" i="1"/>
  <c r="AP303" i="1" s="1"/>
  <c r="N314" i="1"/>
  <c r="AV314" i="1"/>
  <c r="P308" i="1"/>
  <c r="V308" i="1"/>
  <c r="U308" i="1"/>
  <c r="AB324" i="1"/>
  <c r="AU324" i="1" s="1"/>
  <c r="AA324" i="1"/>
  <c r="AT324" i="1" s="1"/>
  <c r="N325" i="1"/>
  <c r="AR338" i="1"/>
  <c r="AR358" i="1" s="1"/>
  <c r="Q336" i="1"/>
  <c r="AO336" i="1" s="1"/>
  <c r="X336" i="1"/>
  <c r="AQ336" i="1" s="1"/>
  <c r="N357" i="1"/>
  <c r="N358" i="1" s="1"/>
  <c r="P342" i="1"/>
  <c r="V342" i="1"/>
  <c r="U342" i="1"/>
  <c r="U348" i="1"/>
  <c r="V351" i="1"/>
  <c r="U351" i="1"/>
  <c r="AA380" i="1"/>
  <c r="AT380" i="1" s="1"/>
  <c r="AB380" i="1"/>
  <c r="AU380" i="1" s="1"/>
  <c r="Q384" i="1"/>
  <c r="AO384" i="1" s="1"/>
  <c r="V439" i="1"/>
  <c r="U439" i="1"/>
  <c r="P439" i="1"/>
  <c r="U539" i="1"/>
  <c r="P539" i="1"/>
  <c r="V539" i="1"/>
  <c r="V205" i="1"/>
  <c r="N217" i="1"/>
  <c r="N218" i="1" s="1"/>
  <c r="V228" i="1"/>
  <c r="V232" i="1"/>
  <c r="V236" i="1"/>
  <c r="V240" i="1"/>
  <c r="V245" i="1"/>
  <c r="V247" i="1"/>
  <c r="V255" i="1"/>
  <c r="U255" i="1"/>
  <c r="R257" i="1"/>
  <c r="AP257" i="1" s="1"/>
  <c r="Q257" i="1"/>
  <c r="AO257" i="1" s="1"/>
  <c r="V275" i="1"/>
  <c r="U275" i="1"/>
  <c r="AY293" i="1"/>
  <c r="AY294" i="1" s="1"/>
  <c r="U289" i="1"/>
  <c r="P289" i="1"/>
  <c r="Q291" i="1"/>
  <c r="AO291" i="1" s="1"/>
  <c r="X291" i="1"/>
  <c r="AQ291" i="1" s="1"/>
  <c r="X300" i="1"/>
  <c r="S300" i="1"/>
  <c r="R300" i="1"/>
  <c r="AB303" i="1"/>
  <c r="AU303" i="1" s="1"/>
  <c r="AA303" i="1"/>
  <c r="AT303" i="1" s="1"/>
  <c r="T303" i="1"/>
  <c r="P323" i="1"/>
  <c r="O325" i="1"/>
  <c r="X333" i="1"/>
  <c r="AQ333" i="1" s="1"/>
  <c r="S333" i="1"/>
  <c r="R333" i="1"/>
  <c r="AP333" i="1" s="1"/>
  <c r="V339" i="1"/>
  <c r="U339" i="1"/>
  <c r="S351" i="1"/>
  <c r="R351" i="1"/>
  <c r="AP351" i="1" s="1"/>
  <c r="Q351" i="1"/>
  <c r="AO351" i="1" s="1"/>
  <c r="V368" i="1"/>
  <c r="U368" i="1"/>
  <c r="P368" i="1"/>
  <c r="AO397" i="1"/>
  <c r="AY422" i="1"/>
  <c r="AY423" i="1" s="1"/>
  <c r="P413" i="1"/>
  <c r="V413" i="1"/>
  <c r="U413" i="1"/>
  <c r="U453" i="1"/>
  <c r="P453" i="1"/>
  <c r="V453" i="1"/>
  <c r="Q249" i="1"/>
  <c r="AO249" i="1" s="1"/>
  <c r="X249" i="1"/>
  <c r="AQ249" i="1" s="1"/>
  <c r="P258" i="1"/>
  <c r="V258" i="1"/>
  <c r="S263" i="1"/>
  <c r="R263" i="1"/>
  <c r="AP263" i="1" s="1"/>
  <c r="Q263" i="1"/>
  <c r="AO263" i="1" s="1"/>
  <c r="Q269" i="1"/>
  <c r="AO269" i="1" s="1"/>
  <c r="X269" i="1"/>
  <c r="AQ269" i="1" s="1"/>
  <c r="V270" i="1"/>
  <c r="U270" i="1"/>
  <c r="S275" i="1"/>
  <c r="R275" i="1"/>
  <c r="AP275" i="1" s="1"/>
  <c r="Q275" i="1"/>
  <c r="AO275" i="1" s="1"/>
  <c r="V289" i="1"/>
  <c r="R291" i="1"/>
  <c r="AP291" i="1" s="1"/>
  <c r="Q300" i="1"/>
  <c r="P302" i="1"/>
  <c r="V302" i="1"/>
  <c r="S307" i="1"/>
  <c r="R307" i="1"/>
  <c r="AP307" i="1" s="1"/>
  <c r="Q307" i="1"/>
  <c r="AO307" i="1" s="1"/>
  <c r="X307" i="1"/>
  <c r="AQ307" i="1" s="1"/>
  <c r="S310" i="1"/>
  <c r="X310" i="1"/>
  <c r="AQ310" i="1" s="1"/>
  <c r="U323" i="1"/>
  <c r="U325" i="1" s="1"/>
  <c r="U326" i="1" s="1"/>
  <c r="Q333" i="1"/>
  <c r="AO333" i="1" s="1"/>
  <c r="AB336" i="1"/>
  <c r="AU336" i="1" s="1"/>
  <c r="AA336" i="1"/>
  <c r="T336" i="1"/>
  <c r="P339" i="1"/>
  <c r="AX357" i="1"/>
  <c r="AX358" i="1" s="1"/>
  <c r="S344" i="1"/>
  <c r="R344" i="1"/>
  <c r="AP344" i="1" s="1"/>
  <c r="Q344" i="1"/>
  <c r="AO344" i="1" s="1"/>
  <c r="X344" i="1"/>
  <c r="AQ344" i="1" s="1"/>
  <c r="T345" i="1"/>
  <c r="P350" i="1"/>
  <c r="V350" i="1"/>
  <c r="U350" i="1"/>
  <c r="X351" i="1"/>
  <c r="AQ351" i="1" s="1"/>
  <c r="AY386" i="1"/>
  <c r="S378" i="1"/>
  <c r="R378" i="1"/>
  <c r="AP378" i="1" s="1"/>
  <c r="X378" i="1"/>
  <c r="AQ378" i="1" s="1"/>
  <c r="R414" i="1"/>
  <c r="AP414" i="1" s="1"/>
  <c r="X414" i="1"/>
  <c r="AQ414" i="1" s="1"/>
  <c r="S414" i="1"/>
  <c r="Q414" i="1"/>
  <c r="AO414" i="1" s="1"/>
  <c r="S435" i="1"/>
  <c r="R435" i="1"/>
  <c r="Q435" i="1"/>
  <c r="V494" i="1"/>
  <c r="U494" i="1"/>
  <c r="P494" i="1"/>
  <c r="U559" i="1"/>
  <c r="P559" i="1"/>
  <c r="V559" i="1"/>
  <c r="AV277" i="1"/>
  <c r="AV278" i="1" s="1"/>
  <c r="S260" i="1"/>
  <c r="R260" i="1"/>
  <c r="AP260" i="1" s="1"/>
  <c r="Q264" i="1"/>
  <c r="AO264" i="1" s="1"/>
  <c r="X264" i="1"/>
  <c r="AQ264" i="1" s="1"/>
  <c r="R270" i="1"/>
  <c r="AP270" i="1" s="1"/>
  <c r="X270" i="1"/>
  <c r="AQ270" i="1" s="1"/>
  <c r="P288" i="1"/>
  <c r="O293" i="1"/>
  <c r="O294" i="1" s="1"/>
  <c r="V288" i="1"/>
  <c r="U288" i="1"/>
  <c r="AB291" i="1"/>
  <c r="AU291" i="1" s="1"/>
  <c r="AA291" i="1"/>
  <c r="AT291" i="1" s="1"/>
  <c r="T291" i="1"/>
  <c r="AY314" i="1"/>
  <c r="AY315" i="1" s="1"/>
  <c r="P321" i="1"/>
  <c r="V321" i="1"/>
  <c r="V322" i="1" s="1"/>
  <c r="V326" i="1" s="1"/>
  <c r="Q332" i="1"/>
  <c r="X332" i="1"/>
  <c r="P335" i="1"/>
  <c r="V335" i="1"/>
  <c r="AV357" i="1"/>
  <c r="V347" i="1"/>
  <c r="U347" i="1"/>
  <c r="P356" i="1"/>
  <c r="V356" i="1"/>
  <c r="U356" i="1"/>
  <c r="AV386" i="1"/>
  <c r="V381" i="1"/>
  <c r="U381" i="1"/>
  <c r="P381" i="1"/>
  <c r="P401" i="1"/>
  <c r="V401" i="1"/>
  <c r="U401" i="1"/>
  <c r="P408" i="1"/>
  <c r="V408" i="1"/>
  <c r="U408" i="1"/>
  <c r="AV604" i="1"/>
  <c r="AV605" i="1" s="1"/>
  <c r="AQ435" i="1"/>
  <c r="P441" i="1"/>
  <c r="V441" i="1"/>
  <c r="U441" i="1"/>
  <c r="X455" i="1"/>
  <c r="AQ455" i="1" s="1"/>
  <c r="S455" i="1"/>
  <c r="R455" i="1"/>
  <c r="AP455" i="1" s="1"/>
  <c r="Q455" i="1"/>
  <c r="AO455" i="1" s="1"/>
  <c r="P483" i="1"/>
  <c r="V483" i="1"/>
  <c r="U483" i="1"/>
  <c r="AW277" i="1"/>
  <c r="AW278" i="1" s="1"/>
  <c r="P247" i="1"/>
  <c r="S249" i="1"/>
  <c r="P254" i="1"/>
  <c r="V254" i="1"/>
  <c r="U257" i="1"/>
  <c r="Q260" i="1"/>
  <c r="R264" i="1"/>
  <c r="AP264" i="1" s="1"/>
  <c r="S269" i="1"/>
  <c r="Q270" i="1"/>
  <c r="AO270" i="1" s="1"/>
  <c r="X275" i="1"/>
  <c r="AQ275" i="1" s="1"/>
  <c r="AV294" i="1"/>
  <c r="P290" i="1"/>
  <c r="V290" i="1"/>
  <c r="K293" i="1"/>
  <c r="K294" i="1" s="1"/>
  <c r="U302" i="1"/>
  <c r="V307" i="1"/>
  <c r="X313" i="1"/>
  <c r="AQ313" i="1" s="1"/>
  <c r="O322" i="1"/>
  <c r="O326" i="1" s="1"/>
  <c r="R332" i="1"/>
  <c r="AB341" i="1"/>
  <c r="AU341" i="1" s="1"/>
  <c r="P347" i="1"/>
  <c r="P352" i="1"/>
  <c r="V352" i="1"/>
  <c r="U352" i="1"/>
  <c r="AW385" i="1"/>
  <c r="AW386" i="1" s="1"/>
  <c r="P379" i="1"/>
  <c r="V379" i="1"/>
  <c r="U379" i="1"/>
  <c r="K423" i="1"/>
  <c r="U421" i="1"/>
  <c r="P421" i="1"/>
  <c r="V421" i="1"/>
  <c r="U456" i="1"/>
  <c r="V456" i="1"/>
  <c r="P456" i="1"/>
  <c r="V457" i="1"/>
  <c r="U457" i="1"/>
  <c r="P457" i="1"/>
  <c r="U460" i="1"/>
  <c r="V460" i="1"/>
  <c r="P460" i="1"/>
  <c r="S510" i="1"/>
  <c r="R510" i="1"/>
  <c r="AP510" i="1" s="1"/>
  <c r="Q510" i="1"/>
  <c r="AO510" i="1" s="1"/>
  <c r="X510" i="1"/>
  <c r="AQ510" i="1" s="1"/>
  <c r="P536" i="1"/>
  <c r="V536" i="1"/>
  <c r="U536" i="1"/>
  <c r="AB545" i="1"/>
  <c r="AU545" i="1" s="1"/>
  <c r="AA545" i="1"/>
  <c r="AT545" i="1" s="1"/>
  <c r="T545" i="1"/>
  <c r="P556" i="1"/>
  <c r="V556" i="1"/>
  <c r="U556" i="1"/>
  <c r="X354" i="1"/>
  <c r="AQ354" i="1" s="1"/>
  <c r="S366" i="1"/>
  <c r="V367" i="1"/>
  <c r="V369" i="1"/>
  <c r="I386" i="1"/>
  <c r="AB377" i="1"/>
  <c r="AU377" i="1" s="1"/>
  <c r="U378" i="1"/>
  <c r="N396" i="1"/>
  <c r="V394" i="1"/>
  <c r="U394" i="1"/>
  <c r="S395" i="1"/>
  <c r="S397" i="1"/>
  <c r="N422" i="1"/>
  <c r="S403" i="1"/>
  <c r="Q403" i="1"/>
  <c r="AO403" i="1" s="1"/>
  <c r="X403" i="1"/>
  <c r="AQ403" i="1" s="1"/>
  <c r="V406" i="1"/>
  <c r="Q431" i="1"/>
  <c r="AO431" i="1" s="1"/>
  <c r="X431" i="1"/>
  <c r="AQ431" i="1" s="1"/>
  <c r="X465" i="1"/>
  <c r="AQ465" i="1" s="1"/>
  <c r="S465" i="1"/>
  <c r="R465" i="1"/>
  <c r="AP465" i="1" s="1"/>
  <c r="Q465" i="1"/>
  <c r="AO465" i="1" s="1"/>
  <c r="P485" i="1"/>
  <c r="U485" i="1"/>
  <c r="V485" i="1"/>
  <c r="R500" i="1"/>
  <c r="AP500" i="1" s="1"/>
  <c r="Q500" i="1"/>
  <c r="AO500" i="1" s="1"/>
  <c r="X500" i="1"/>
  <c r="AQ500" i="1" s="1"/>
  <c r="S500" i="1"/>
  <c r="P515" i="1"/>
  <c r="V515" i="1"/>
  <c r="U515" i="1"/>
  <c r="P524" i="1"/>
  <c r="V524" i="1"/>
  <c r="U524" i="1"/>
  <c r="X530" i="1"/>
  <c r="AQ530" i="1" s="1"/>
  <c r="S530" i="1"/>
  <c r="R530" i="1"/>
  <c r="AP530" i="1" s="1"/>
  <c r="Q530" i="1"/>
  <c r="AO530" i="1" s="1"/>
  <c r="Q533" i="1"/>
  <c r="AO533" i="1" s="1"/>
  <c r="X533" i="1"/>
  <c r="AQ533" i="1" s="1"/>
  <c r="S533" i="1"/>
  <c r="Q561" i="1"/>
  <c r="AO561" i="1" s="1"/>
  <c r="X561" i="1"/>
  <c r="AQ561" i="1" s="1"/>
  <c r="S561" i="1"/>
  <c r="R561" i="1"/>
  <c r="AP561" i="1" s="1"/>
  <c r="V581" i="1"/>
  <c r="U581" i="1"/>
  <c r="P581" i="1"/>
  <c r="U291" i="1"/>
  <c r="U303" i="1"/>
  <c r="U332" i="1"/>
  <c r="U336" i="1"/>
  <c r="M358" i="1"/>
  <c r="V377" i="1"/>
  <c r="U377" i="1"/>
  <c r="O392" i="1"/>
  <c r="P394" i="1"/>
  <c r="X395" i="1"/>
  <c r="AQ395" i="1" s="1"/>
  <c r="O398" i="1"/>
  <c r="O422" i="1" s="1"/>
  <c r="R403" i="1"/>
  <c r="AP403" i="1" s="1"/>
  <c r="P409" i="1"/>
  <c r="P415" i="1"/>
  <c r="V415" i="1"/>
  <c r="U415" i="1"/>
  <c r="X420" i="1"/>
  <c r="AQ420" i="1" s="1"/>
  <c r="S420" i="1"/>
  <c r="R420" i="1"/>
  <c r="AP420" i="1" s="1"/>
  <c r="R431" i="1"/>
  <c r="AP431" i="1" s="1"/>
  <c r="S436" i="1"/>
  <c r="R436" i="1"/>
  <c r="AP436" i="1" s="1"/>
  <c r="Q436" i="1"/>
  <c r="AO436" i="1" s="1"/>
  <c r="X436" i="1"/>
  <c r="AQ436" i="1" s="1"/>
  <c r="P438" i="1"/>
  <c r="V438" i="1"/>
  <c r="U438" i="1"/>
  <c r="V443" i="1"/>
  <c r="U443" i="1"/>
  <c r="P445" i="1"/>
  <c r="V445" i="1"/>
  <c r="U445" i="1"/>
  <c r="U451" i="1"/>
  <c r="P451" i="1"/>
  <c r="X459" i="1"/>
  <c r="AQ459" i="1" s="1"/>
  <c r="S459" i="1"/>
  <c r="R459" i="1"/>
  <c r="AP459" i="1" s="1"/>
  <c r="V462" i="1"/>
  <c r="U462" i="1"/>
  <c r="T471" i="1"/>
  <c r="AB471" i="1"/>
  <c r="AU471" i="1" s="1"/>
  <c r="AA471" i="1"/>
  <c r="P477" i="1"/>
  <c r="U477" i="1"/>
  <c r="P501" i="1"/>
  <c r="U501" i="1"/>
  <c r="V501" i="1"/>
  <c r="R533" i="1"/>
  <c r="AP533" i="1" s="1"/>
  <c r="Q553" i="1"/>
  <c r="AO553" i="1" s="1"/>
  <c r="X553" i="1"/>
  <c r="AQ553" i="1" s="1"/>
  <c r="S553" i="1"/>
  <c r="R553" i="1"/>
  <c r="AP553" i="1" s="1"/>
  <c r="X626" i="1"/>
  <c r="AQ626" i="1" s="1"/>
  <c r="S626" i="1"/>
  <c r="R626" i="1"/>
  <c r="AP626" i="1" s="1"/>
  <c r="Q626" i="1"/>
  <c r="AO626" i="1" s="1"/>
  <c r="V291" i="1"/>
  <c r="V303" i="1"/>
  <c r="X324" i="1"/>
  <c r="AQ324" i="1" s="1"/>
  <c r="V332" i="1"/>
  <c r="V336" i="1"/>
  <c r="AW357" i="1"/>
  <c r="AW358" i="1" s="1"/>
  <c r="X349" i="1"/>
  <c r="AQ349" i="1" s="1"/>
  <c r="V366" i="1"/>
  <c r="K386" i="1"/>
  <c r="AR422" i="1"/>
  <c r="X404" i="1"/>
  <c r="AQ404" i="1" s="1"/>
  <c r="Q410" i="1"/>
  <c r="AO410" i="1" s="1"/>
  <c r="R411" i="1"/>
  <c r="AP411" i="1" s="1"/>
  <c r="X411" i="1"/>
  <c r="AQ411" i="1" s="1"/>
  <c r="S418" i="1"/>
  <c r="R418" i="1"/>
  <c r="AP418" i="1" s="1"/>
  <c r="X418" i="1"/>
  <c r="AQ418" i="1" s="1"/>
  <c r="P419" i="1"/>
  <c r="V419" i="1"/>
  <c r="U419" i="1"/>
  <c r="AB431" i="1"/>
  <c r="AU431" i="1" s="1"/>
  <c r="AA431" i="1"/>
  <c r="T431" i="1"/>
  <c r="S443" i="1"/>
  <c r="R443" i="1"/>
  <c r="AP443" i="1" s="1"/>
  <c r="Q443" i="1"/>
  <c r="AO443" i="1" s="1"/>
  <c r="U454" i="1"/>
  <c r="P454" i="1"/>
  <c r="Q462" i="1"/>
  <c r="AO462" i="1" s="1"/>
  <c r="X462" i="1"/>
  <c r="AQ462" i="1" s="1"/>
  <c r="S462" i="1"/>
  <c r="R462" i="1"/>
  <c r="AP462" i="1" s="1"/>
  <c r="P473" i="1"/>
  <c r="U473" i="1"/>
  <c r="V473" i="1"/>
  <c r="S491" i="1"/>
  <c r="Q491" i="1"/>
  <c r="AO491" i="1" s="1"/>
  <c r="R491" i="1"/>
  <c r="AP491" i="1" s="1"/>
  <c r="X491" i="1"/>
  <c r="AQ491" i="1" s="1"/>
  <c r="X574" i="1"/>
  <c r="AQ574" i="1" s="1"/>
  <c r="S574" i="1"/>
  <c r="R574" i="1"/>
  <c r="AP574" i="1" s="1"/>
  <c r="O338" i="1"/>
  <c r="K357" i="1"/>
  <c r="K358" i="1" s="1"/>
  <c r="Q369" i="1"/>
  <c r="AO369" i="1" s="1"/>
  <c r="X369" i="1"/>
  <c r="AQ369" i="1" s="1"/>
  <c r="AS385" i="1"/>
  <c r="V373" i="1"/>
  <c r="U373" i="1"/>
  <c r="R375" i="1"/>
  <c r="AP375" i="1" s="1"/>
  <c r="Q375" i="1"/>
  <c r="AO375" i="1" s="1"/>
  <c r="AS396" i="1"/>
  <c r="AS423" i="1" s="1"/>
  <c r="P416" i="1"/>
  <c r="Q418" i="1"/>
  <c r="AO418" i="1" s="1"/>
  <c r="S430" i="1"/>
  <c r="R430" i="1"/>
  <c r="AP430" i="1" s="1"/>
  <c r="Q430" i="1"/>
  <c r="AO430" i="1" s="1"/>
  <c r="X430" i="1"/>
  <c r="AQ430" i="1" s="1"/>
  <c r="S440" i="1"/>
  <c r="R440" i="1"/>
  <c r="AP440" i="1" s="1"/>
  <c r="Q440" i="1"/>
  <c r="AO440" i="1" s="1"/>
  <c r="X440" i="1"/>
  <c r="AQ440" i="1" s="1"/>
  <c r="P442" i="1"/>
  <c r="V442" i="1"/>
  <c r="U442" i="1"/>
  <c r="X443" i="1"/>
  <c r="AQ443" i="1" s="1"/>
  <c r="V447" i="1"/>
  <c r="U447" i="1"/>
  <c r="S449" i="1"/>
  <c r="X449" i="1"/>
  <c r="AQ449" i="1" s="1"/>
  <c r="V454" i="1"/>
  <c r="U466" i="1"/>
  <c r="V466" i="1"/>
  <c r="P466" i="1"/>
  <c r="T487" i="1"/>
  <c r="AB487" i="1"/>
  <c r="AU487" i="1" s="1"/>
  <c r="AA487" i="1"/>
  <c r="AB516" i="1"/>
  <c r="AU516" i="1" s="1"/>
  <c r="P521" i="1"/>
  <c r="V521" i="1"/>
  <c r="U521" i="1"/>
  <c r="AB525" i="1"/>
  <c r="AU525" i="1" s="1"/>
  <c r="AA525" i="1"/>
  <c r="T525" i="1"/>
  <c r="U575" i="1"/>
  <c r="P575" i="1"/>
  <c r="V575" i="1"/>
  <c r="U657" i="1"/>
  <c r="V657" i="1"/>
  <c r="P657" i="1"/>
  <c r="V688" i="1"/>
  <c r="U688" i="1"/>
  <c r="P688" i="1"/>
  <c r="O305" i="1"/>
  <c r="Q324" i="1"/>
  <c r="AO324" i="1" s="1"/>
  <c r="AY357" i="1"/>
  <c r="AY358" i="1" s="1"/>
  <c r="Q349" i="1"/>
  <c r="AO349" i="1" s="1"/>
  <c r="Q354" i="1"/>
  <c r="AO354" i="1" s="1"/>
  <c r="P367" i="1"/>
  <c r="R369" i="1"/>
  <c r="AP369" i="1" s="1"/>
  <c r="P373" i="1"/>
  <c r="S375" i="1"/>
  <c r="Q380" i="1"/>
  <c r="AO380" i="1" s="1"/>
  <c r="V395" i="1"/>
  <c r="U395" i="1"/>
  <c r="V397" i="1"/>
  <c r="U397" i="1"/>
  <c r="K422" i="1"/>
  <c r="Q400" i="1"/>
  <c r="AO400" i="1" s="1"/>
  <c r="P402" i="1"/>
  <c r="V403" i="1"/>
  <c r="P405" i="1"/>
  <c r="U410" i="1"/>
  <c r="S411" i="1"/>
  <c r="P412" i="1"/>
  <c r="V412" i="1"/>
  <c r="U412" i="1"/>
  <c r="U417" i="1"/>
  <c r="P417" i="1"/>
  <c r="P447" i="1"/>
  <c r="U452" i="1"/>
  <c r="P452" i="1"/>
  <c r="V461" i="1"/>
  <c r="U461" i="1"/>
  <c r="Q464" i="1"/>
  <c r="AO464" i="1" s="1"/>
  <c r="X464" i="1"/>
  <c r="AQ464" i="1" s="1"/>
  <c r="S464" i="1"/>
  <c r="P467" i="1"/>
  <c r="V467" i="1"/>
  <c r="U467" i="1"/>
  <c r="P481" i="1"/>
  <c r="U481" i="1"/>
  <c r="V481" i="1"/>
  <c r="V491" i="1"/>
  <c r="V502" i="1"/>
  <c r="U502" i="1"/>
  <c r="U531" i="1"/>
  <c r="P531" i="1"/>
  <c r="X542" i="1"/>
  <c r="AQ542" i="1" s="1"/>
  <c r="S542" i="1"/>
  <c r="R542" i="1"/>
  <c r="AP542" i="1" s="1"/>
  <c r="U547" i="1"/>
  <c r="P547" i="1"/>
  <c r="V547" i="1"/>
  <c r="P576" i="1"/>
  <c r="V576" i="1"/>
  <c r="U576" i="1"/>
  <c r="R324" i="1"/>
  <c r="AP324" i="1" s="1"/>
  <c r="R349" i="1"/>
  <c r="AP349" i="1" s="1"/>
  <c r="P353" i="1"/>
  <c r="V353" i="1"/>
  <c r="S369" i="1"/>
  <c r="V370" i="1"/>
  <c r="U370" i="1"/>
  <c r="R380" i="1"/>
  <c r="AP380" i="1" s="1"/>
  <c r="V384" i="1"/>
  <c r="U384" i="1"/>
  <c r="AX422" i="1"/>
  <c r="L422" i="1"/>
  <c r="R406" i="1"/>
  <c r="AP406" i="1" s="1"/>
  <c r="Q406" i="1"/>
  <c r="AO406" i="1" s="1"/>
  <c r="R407" i="1"/>
  <c r="AP407" i="1" s="1"/>
  <c r="X407" i="1"/>
  <c r="AQ407" i="1" s="1"/>
  <c r="O604" i="1"/>
  <c r="V435" i="1"/>
  <c r="U435" i="1"/>
  <c r="P437" i="1"/>
  <c r="V437" i="1"/>
  <c r="U437" i="1"/>
  <c r="S444" i="1"/>
  <c r="R444" i="1"/>
  <c r="AP444" i="1" s="1"/>
  <c r="Q444" i="1"/>
  <c r="AO444" i="1" s="1"/>
  <c r="X444" i="1"/>
  <c r="AQ444" i="1" s="1"/>
  <c r="P446" i="1"/>
  <c r="V446" i="1"/>
  <c r="U446" i="1"/>
  <c r="V455" i="1"/>
  <c r="U455" i="1"/>
  <c r="V458" i="1"/>
  <c r="U458" i="1"/>
  <c r="P458" i="1"/>
  <c r="S461" i="1"/>
  <c r="X461" i="1"/>
  <c r="AQ461" i="1" s="1"/>
  <c r="R461" i="1"/>
  <c r="AP461" i="1" s="1"/>
  <c r="Q461" i="1"/>
  <c r="AO461" i="1" s="1"/>
  <c r="R476" i="1"/>
  <c r="AP476" i="1" s="1"/>
  <c r="X476" i="1"/>
  <c r="AQ476" i="1" s="1"/>
  <c r="S476" i="1"/>
  <c r="S478" i="1"/>
  <c r="P499" i="1"/>
  <c r="V499" i="1"/>
  <c r="U499" i="1"/>
  <c r="P502" i="1"/>
  <c r="V510" i="1"/>
  <c r="U510" i="1"/>
  <c r="V531" i="1"/>
  <c r="Q542" i="1"/>
  <c r="AO542" i="1" s="1"/>
  <c r="P564" i="1"/>
  <c r="V564" i="1"/>
  <c r="U564" i="1"/>
  <c r="U567" i="1"/>
  <c r="P567" i="1"/>
  <c r="P588" i="1"/>
  <c r="V588" i="1"/>
  <c r="U588" i="1"/>
  <c r="V372" i="1"/>
  <c r="V376" i="1"/>
  <c r="V380" i="1"/>
  <c r="V383" i="1"/>
  <c r="V407" i="1"/>
  <c r="V411" i="1"/>
  <c r="V414" i="1"/>
  <c r="V418" i="1"/>
  <c r="V430" i="1"/>
  <c r="AW604" i="1"/>
  <c r="AW605" i="1" s="1"/>
  <c r="S463" i="1"/>
  <c r="U471" i="1"/>
  <c r="X472" i="1"/>
  <c r="AQ472" i="1" s="1"/>
  <c r="X475" i="1"/>
  <c r="AQ475" i="1" s="1"/>
  <c r="U487" i="1"/>
  <c r="P489" i="1"/>
  <c r="U489" i="1"/>
  <c r="AA504" i="1"/>
  <c r="AT504" i="1" s="1"/>
  <c r="P509" i="1"/>
  <c r="V509" i="1"/>
  <c r="U509" i="1"/>
  <c r="V518" i="1"/>
  <c r="U518" i="1"/>
  <c r="Q541" i="1"/>
  <c r="AO541" i="1" s="1"/>
  <c r="X541" i="1"/>
  <c r="AQ541" i="1" s="1"/>
  <c r="P544" i="1"/>
  <c r="V544" i="1"/>
  <c r="X550" i="1"/>
  <c r="AQ550" i="1" s="1"/>
  <c r="S550" i="1"/>
  <c r="R550" i="1"/>
  <c r="AP550" i="1" s="1"/>
  <c r="P573" i="1"/>
  <c r="V573" i="1"/>
  <c r="U573" i="1"/>
  <c r="X583" i="1"/>
  <c r="AQ583" i="1" s="1"/>
  <c r="S583" i="1"/>
  <c r="R583" i="1"/>
  <c r="AP583" i="1" s="1"/>
  <c r="Q583" i="1"/>
  <c r="AO583" i="1" s="1"/>
  <c r="V585" i="1"/>
  <c r="U585" i="1"/>
  <c r="X622" i="1"/>
  <c r="AQ622" i="1" s="1"/>
  <c r="S622" i="1"/>
  <c r="R622" i="1"/>
  <c r="AP622" i="1" s="1"/>
  <c r="Q622" i="1"/>
  <c r="AO622" i="1" s="1"/>
  <c r="V643" i="1"/>
  <c r="U643" i="1"/>
  <c r="U708" i="1"/>
  <c r="P708" i="1"/>
  <c r="V708" i="1"/>
  <c r="O385" i="1"/>
  <c r="U431" i="1"/>
  <c r="AX604" i="1"/>
  <c r="AX605" i="1" s="1"/>
  <c r="V471" i="1"/>
  <c r="U478" i="1"/>
  <c r="V487" i="1"/>
  <c r="S495" i="1"/>
  <c r="S507" i="1"/>
  <c r="Q507" i="1"/>
  <c r="AO507" i="1" s="1"/>
  <c r="X507" i="1"/>
  <c r="AQ507" i="1" s="1"/>
  <c r="R508" i="1"/>
  <c r="AP508" i="1" s="1"/>
  <c r="Q508" i="1"/>
  <c r="AO508" i="1" s="1"/>
  <c r="X508" i="1"/>
  <c r="AQ508" i="1" s="1"/>
  <c r="AB512" i="1"/>
  <c r="AU512" i="1" s="1"/>
  <c r="AA512" i="1"/>
  <c r="AT512" i="1" s="1"/>
  <c r="S518" i="1"/>
  <c r="R518" i="1"/>
  <c r="AP518" i="1" s="1"/>
  <c r="Q518" i="1"/>
  <c r="AO518" i="1" s="1"/>
  <c r="U527" i="1"/>
  <c r="P527" i="1"/>
  <c r="Q529" i="1"/>
  <c r="AO529" i="1" s="1"/>
  <c r="X529" i="1"/>
  <c r="AQ529" i="1" s="1"/>
  <c r="P532" i="1"/>
  <c r="V532" i="1"/>
  <c r="X538" i="1"/>
  <c r="AQ538" i="1" s="1"/>
  <c r="S538" i="1"/>
  <c r="R538" i="1"/>
  <c r="AP538" i="1" s="1"/>
  <c r="P568" i="1"/>
  <c r="V568" i="1"/>
  <c r="U571" i="1"/>
  <c r="P571" i="1"/>
  <c r="S585" i="1"/>
  <c r="R585" i="1"/>
  <c r="AP585" i="1" s="1"/>
  <c r="Q585" i="1"/>
  <c r="AO585" i="1" s="1"/>
  <c r="X585" i="1"/>
  <c r="AQ585" i="1" s="1"/>
  <c r="X618" i="1"/>
  <c r="AQ618" i="1" s="1"/>
  <c r="S618" i="1"/>
  <c r="R618" i="1"/>
  <c r="AP618" i="1" s="1"/>
  <c r="Q618" i="1"/>
  <c r="AO618" i="1" s="1"/>
  <c r="P643" i="1"/>
  <c r="V648" i="1"/>
  <c r="U648" i="1"/>
  <c r="V431" i="1"/>
  <c r="AY604" i="1"/>
  <c r="V464" i="1"/>
  <c r="P468" i="1"/>
  <c r="P470" i="1"/>
  <c r="X471" i="1"/>
  <c r="AQ471" i="1" s="1"/>
  <c r="R479" i="1"/>
  <c r="AP479" i="1" s="1"/>
  <c r="R484" i="1"/>
  <c r="AP484" i="1" s="1"/>
  <c r="X484" i="1"/>
  <c r="AQ484" i="1" s="1"/>
  <c r="P486" i="1"/>
  <c r="X487" i="1"/>
  <c r="AQ487" i="1" s="1"/>
  <c r="V490" i="1"/>
  <c r="U490" i="1"/>
  <c r="R495" i="1"/>
  <c r="AP495" i="1" s="1"/>
  <c r="R496" i="1"/>
  <c r="AP496" i="1" s="1"/>
  <c r="Q496" i="1"/>
  <c r="AO496" i="1" s="1"/>
  <c r="X496" i="1"/>
  <c r="AQ496" i="1" s="1"/>
  <c r="P497" i="1"/>
  <c r="U497" i="1"/>
  <c r="R507" i="1"/>
  <c r="AP507" i="1" s="1"/>
  <c r="S508" i="1"/>
  <c r="S511" i="1"/>
  <c r="R511" i="1"/>
  <c r="AP511" i="1" s="1"/>
  <c r="Q511" i="1"/>
  <c r="AO511" i="1" s="1"/>
  <c r="X511" i="1"/>
  <c r="AQ511" i="1" s="1"/>
  <c r="T512" i="1"/>
  <c r="P517" i="1"/>
  <c r="V517" i="1"/>
  <c r="U517" i="1"/>
  <c r="X518" i="1"/>
  <c r="AQ518" i="1" s="1"/>
  <c r="X526" i="1"/>
  <c r="AQ526" i="1" s="1"/>
  <c r="S526" i="1"/>
  <c r="R526" i="1"/>
  <c r="AP526" i="1" s="1"/>
  <c r="V527" i="1"/>
  <c r="R529" i="1"/>
  <c r="AP529" i="1" s="1"/>
  <c r="Q538" i="1"/>
  <c r="AO538" i="1" s="1"/>
  <c r="S541" i="1"/>
  <c r="Q549" i="1"/>
  <c r="AO549" i="1" s="1"/>
  <c r="X549" i="1"/>
  <c r="AQ549" i="1" s="1"/>
  <c r="P552" i="1"/>
  <c r="V552" i="1"/>
  <c r="P560" i="1"/>
  <c r="V560" i="1"/>
  <c r="P565" i="1"/>
  <c r="V565" i="1"/>
  <c r="U565" i="1"/>
  <c r="V571" i="1"/>
  <c r="AA587" i="1"/>
  <c r="AB587" i="1"/>
  <c r="AU587" i="1" s="1"/>
  <c r="T587" i="1"/>
  <c r="S589" i="1"/>
  <c r="R589" i="1"/>
  <c r="AP589" i="1" s="1"/>
  <c r="Q589" i="1"/>
  <c r="AO589" i="1" s="1"/>
  <c r="X589" i="1"/>
  <c r="AQ589" i="1" s="1"/>
  <c r="S627" i="1"/>
  <c r="R627" i="1"/>
  <c r="AP627" i="1" s="1"/>
  <c r="Q627" i="1"/>
  <c r="AO627" i="1" s="1"/>
  <c r="N661" i="1"/>
  <c r="N662" i="1" s="1"/>
  <c r="P648" i="1"/>
  <c r="U420" i="1"/>
  <c r="AR604" i="1"/>
  <c r="T479" i="1"/>
  <c r="AB479" i="1"/>
  <c r="AU479" i="1" s="1"/>
  <c r="AA479" i="1"/>
  <c r="S490" i="1"/>
  <c r="R490" i="1"/>
  <c r="AP490" i="1" s="1"/>
  <c r="P505" i="1"/>
  <c r="U505" i="1"/>
  <c r="V506" i="1"/>
  <c r="U506" i="1"/>
  <c r="V514" i="1"/>
  <c r="U514" i="1"/>
  <c r="AB520" i="1"/>
  <c r="AU520" i="1" s="1"/>
  <c r="AA520" i="1"/>
  <c r="AT520" i="1" s="1"/>
  <c r="AB529" i="1"/>
  <c r="AU529" i="1" s="1"/>
  <c r="AA529" i="1"/>
  <c r="T529" i="1"/>
  <c r="U535" i="1"/>
  <c r="P535" i="1"/>
  <c r="Q537" i="1"/>
  <c r="AO537" i="1" s="1"/>
  <c r="X537" i="1"/>
  <c r="AQ537" i="1" s="1"/>
  <c r="P540" i="1"/>
  <c r="V540" i="1"/>
  <c r="X546" i="1"/>
  <c r="AQ546" i="1" s="1"/>
  <c r="S546" i="1"/>
  <c r="R546" i="1"/>
  <c r="AP546" i="1" s="1"/>
  <c r="U555" i="1"/>
  <c r="P555" i="1"/>
  <c r="Q557" i="1"/>
  <c r="AO557" i="1" s="1"/>
  <c r="X557" i="1"/>
  <c r="AQ557" i="1" s="1"/>
  <c r="U563" i="1"/>
  <c r="P563" i="1"/>
  <c r="X570" i="1"/>
  <c r="AQ570" i="1" s="1"/>
  <c r="S570" i="1"/>
  <c r="R570" i="1"/>
  <c r="AP570" i="1" s="1"/>
  <c r="P577" i="1"/>
  <c r="V577" i="1"/>
  <c r="U577" i="1"/>
  <c r="U580" i="1"/>
  <c r="V580" i="1"/>
  <c r="P580" i="1"/>
  <c r="V584" i="1"/>
  <c r="U584" i="1"/>
  <c r="P584" i="1"/>
  <c r="S623" i="1"/>
  <c r="R623" i="1"/>
  <c r="AP623" i="1" s="1"/>
  <c r="Q623" i="1"/>
  <c r="AO623" i="1" s="1"/>
  <c r="X627" i="1"/>
  <c r="AQ627" i="1" s="1"/>
  <c r="O640" i="1"/>
  <c r="P641" i="1"/>
  <c r="V641" i="1"/>
  <c r="U641" i="1"/>
  <c r="AS604" i="1"/>
  <c r="R475" i="1"/>
  <c r="AP475" i="1" s="1"/>
  <c r="R480" i="1"/>
  <c r="AP480" i="1" s="1"/>
  <c r="X480" i="1"/>
  <c r="AQ480" i="1" s="1"/>
  <c r="P482" i="1"/>
  <c r="Q490" i="1"/>
  <c r="AO490" i="1" s="1"/>
  <c r="T496" i="1"/>
  <c r="V498" i="1"/>
  <c r="U498" i="1"/>
  <c r="S503" i="1"/>
  <c r="Q503" i="1"/>
  <c r="AO503" i="1" s="1"/>
  <c r="X503" i="1"/>
  <c r="AQ503" i="1" s="1"/>
  <c r="R504" i="1"/>
  <c r="AP504" i="1" s="1"/>
  <c r="Q504" i="1"/>
  <c r="AO504" i="1" s="1"/>
  <c r="X504" i="1"/>
  <c r="AQ504" i="1" s="1"/>
  <c r="P506" i="1"/>
  <c r="P514" i="1"/>
  <c r="S519" i="1"/>
  <c r="R519" i="1"/>
  <c r="AP519" i="1" s="1"/>
  <c r="Q519" i="1"/>
  <c r="AO519" i="1" s="1"/>
  <c r="X519" i="1"/>
  <c r="AQ519" i="1" s="1"/>
  <c r="T520" i="1"/>
  <c r="Q525" i="1"/>
  <c r="AO525" i="1" s="1"/>
  <c r="X525" i="1"/>
  <c r="AQ525" i="1" s="1"/>
  <c r="P528" i="1"/>
  <c r="V528" i="1"/>
  <c r="X534" i="1"/>
  <c r="AQ534" i="1" s="1"/>
  <c r="S534" i="1"/>
  <c r="R534" i="1"/>
  <c r="AP534" i="1" s="1"/>
  <c r="V535" i="1"/>
  <c r="R537" i="1"/>
  <c r="AP537" i="1" s="1"/>
  <c r="Q546" i="1"/>
  <c r="AO546" i="1" s="1"/>
  <c r="S549" i="1"/>
  <c r="U552" i="1"/>
  <c r="V555" i="1"/>
  <c r="R557" i="1"/>
  <c r="AP557" i="1" s="1"/>
  <c r="U560" i="1"/>
  <c r="V563" i="1"/>
  <c r="Q570" i="1"/>
  <c r="AO570" i="1" s="1"/>
  <c r="P572" i="1"/>
  <c r="V572" i="1"/>
  <c r="S619" i="1"/>
  <c r="R619" i="1"/>
  <c r="AP619" i="1" s="1"/>
  <c r="Q619" i="1"/>
  <c r="AO619" i="1" s="1"/>
  <c r="X623" i="1"/>
  <c r="AQ623" i="1" s="1"/>
  <c r="N604" i="1"/>
  <c r="S475" i="1"/>
  <c r="R492" i="1"/>
  <c r="AP492" i="1" s="1"/>
  <c r="Q492" i="1"/>
  <c r="AO492" i="1" s="1"/>
  <c r="X492" i="1"/>
  <c r="AQ492" i="1" s="1"/>
  <c r="P493" i="1"/>
  <c r="U493" i="1"/>
  <c r="S498" i="1"/>
  <c r="R498" i="1"/>
  <c r="AP498" i="1" s="1"/>
  <c r="P513" i="1"/>
  <c r="V513" i="1"/>
  <c r="U513" i="1"/>
  <c r="X522" i="1"/>
  <c r="AQ522" i="1" s="1"/>
  <c r="S522" i="1"/>
  <c r="R522" i="1"/>
  <c r="AP522" i="1" s="1"/>
  <c r="S537" i="1"/>
  <c r="U540" i="1"/>
  <c r="U543" i="1"/>
  <c r="P543" i="1"/>
  <c r="Q545" i="1"/>
  <c r="AO545" i="1" s="1"/>
  <c r="X545" i="1"/>
  <c r="AQ545" i="1" s="1"/>
  <c r="P548" i="1"/>
  <c r="V548" i="1"/>
  <c r="X554" i="1"/>
  <c r="AQ554" i="1" s="1"/>
  <c r="S554" i="1"/>
  <c r="R554" i="1"/>
  <c r="AP554" i="1" s="1"/>
  <c r="S557" i="1"/>
  <c r="X562" i="1"/>
  <c r="AQ562" i="1" s="1"/>
  <c r="S562" i="1"/>
  <c r="R562" i="1"/>
  <c r="AP562" i="1" s="1"/>
  <c r="P569" i="1"/>
  <c r="V569" i="1"/>
  <c r="U569" i="1"/>
  <c r="X619" i="1"/>
  <c r="AQ619" i="1" s="1"/>
  <c r="P611" i="1"/>
  <c r="V611" i="1"/>
  <c r="AB612" i="1"/>
  <c r="AU612" i="1" s="1"/>
  <c r="AA612" i="1"/>
  <c r="T612" i="1"/>
  <c r="AS631" i="1"/>
  <c r="AX661" i="1"/>
  <c r="V642" i="1"/>
  <c r="U642" i="1"/>
  <c r="P645" i="1"/>
  <c r="V645" i="1"/>
  <c r="U645" i="1"/>
  <c r="P679" i="1"/>
  <c r="U679" i="1"/>
  <c r="V679" i="1"/>
  <c r="U525" i="1"/>
  <c r="U529" i="1"/>
  <c r="U533" i="1"/>
  <c r="U537" i="1"/>
  <c r="U541" i="1"/>
  <c r="U545" i="1"/>
  <c r="U549" i="1"/>
  <c r="U553" i="1"/>
  <c r="U557" i="1"/>
  <c r="U561" i="1"/>
  <c r="P601" i="1"/>
  <c r="V601" i="1"/>
  <c r="U601" i="1"/>
  <c r="S603" i="1"/>
  <c r="R603" i="1"/>
  <c r="AP603" i="1" s="1"/>
  <c r="Q603" i="1"/>
  <c r="AO603" i="1" s="1"/>
  <c r="X603" i="1"/>
  <c r="AQ603" i="1" s="1"/>
  <c r="N631" i="1"/>
  <c r="O616" i="1"/>
  <c r="S620" i="1"/>
  <c r="R620" i="1"/>
  <c r="AP620" i="1" s="1"/>
  <c r="Q620" i="1"/>
  <c r="AO620" i="1" s="1"/>
  <c r="X620" i="1"/>
  <c r="AQ620" i="1" s="1"/>
  <c r="S624" i="1"/>
  <c r="R624" i="1"/>
  <c r="AP624" i="1" s="1"/>
  <c r="Q624" i="1"/>
  <c r="AO624" i="1" s="1"/>
  <c r="X624" i="1"/>
  <c r="AQ624" i="1" s="1"/>
  <c r="S628" i="1"/>
  <c r="R628" i="1"/>
  <c r="AP628" i="1" s="1"/>
  <c r="Q628" i="1"/>
  <c r="AO628" i="1" s="1"/>
  <c r="X628" i="1"/>
  <c r="AQ628" i="1" s="1"/>
  <c r="P642" i="1"/>
  <c r="X512" i="1"/>
  <c r="AQ512" i="1" s="1"/>
  <c r="X520" i="1"/>
  <c r="AQ520" i="1" s="1"/>
  <c r="V525" i="1"/>
  <c r="V529" i="1"/>
  <c r="V533" i="1"/>
  <c r="V537" i="1"/>
  <c r="V541" i="1"/>
  <c r="V545" i="1"/>
  <c r="V549" i="1"/>
  <c r="V553" i="1"/>
  <c r="V557" i="1"/>
  <c r="V561" i="1"/>
  <c r="V613" i="1"/>
  <c r="U613" i="1"/>
  <c r="X615" i="1"/>
  <c r="AQ615" i="1" s="1"/>
  <c r="S615" i="1"/>
  <c r="AV631" i="1"/>
  <c r="AV632" i="1" s="1"/>
  <c r="AA617" i="1"/>
  <c r="T629" i="1"/>
  <c r="AB629" i="1"/>
  <c r="AU629" i="1" s="1"/>
  <c r="AA629" i="1"/>
  <c r="P638" i="1"/>
  <c r="AV661" i="1"/>
  <c r="AV662" i="1" s="1"/>
  <c r="V647" i="1"/>
  <c r="U647" i="1"/>
  <c r="Q649" i="1"/>
  <c r="AO649" i="1" s="1"/>
  <c r="X649" i="1"/>
  <c r="AQ649" i="1" s="1"/>
  <c r="S680" i="1"/>
  <c r="R680" i="1"/>
  <c r="AP680" i="1" s="1"/>
  <c r="Q680" i="1"/>
  <c r="AO680" i="1" s="1"/>
  <c r="X680" i="1"/>
  <c r="AQ680" i="1" s="1"/>
  <c r="Q692" i="1"/>
  <c r="AO692" i="1" s="1"/>
  <c r="X692" i="1"/>
  <c r="AQ692" i="1" s="1"/>
  <c r="S692" i="1"/>
  <c r="U554" i="1"/>
  <c r="U558" i="1"/>
  <c r="U562" i="1"/>
  <c r="U566" i="1"/>
  <c r="U570" i="1"/>
  <c r="U574" i="1"/>
  <c r="V579" i="1"/>
  <c r="U579" i="1"/>
  <c r="Q582" i="1"/>
  <c r="AO582" i="1" s="1"/>
  <c r="X582" i="1"/>
  <c r="AQ582" i="1" s="1"/>
  <c r="R590" i="1"/>
  <c r="AP590" i="1" s="1"/>
  <c r="Q590" i="1"/>
  <c r="AO590" i="1" s="1"/>
  <c r="X590" i="1"/>
  <c r="AQ590" i="1" s="1"/>
  <c r="P591" i="1"/>
  <c r="V591" i="1"/>
  <c r="U591" i="1"/>
  <c r="R592" i="1"/>
  <c r="AP592" i="1" s="1"/>
  <c r="Q592" i="1"/>
  <c r="AO592" i="1" s="1"/>
  <c r="X592" i="1"/>
  <c r="AQ592" i="1" s="1"/>
  <c r="P593" i="1"/>
  <c r="V593" i="1"/>
  <c r="U593" i="1"/>
  <c r="R594" i="1"/>
  <c r="AP594" i="1" s="1"/>
  <c r="Q594" i="1"/>
  <c r="AO594" i="1" s="1"/>
  <c r="X594" i="1"/>
  <c r="AQ594" i="1" s="1"/>
  <c r="P595" i="1"/>
  <c r="V595" i="1"/>
  <c r="U595" i="1"/>
  <c r="R596" i="1"/>
  <c r="AP596" i="1" s="1"/>
  <c r="Q596" i="1"/>
  <c r="AO596" i="1" s="1"/>
  <c r="X596" i="1"/>
  <c r="AQ596" i="1" s="1"/>
  <c r="P597" i="1"/>
  <c r="V597" i="1"/>
  <c r="U597" i="1"/>
  <c r="Q598" i="1"/>
  <c r="AO598" i="1" s="1"/>
  <c r="X598" i="1"/>
  <c r="AQ598" i="1" s="1"/>
  <c r="P599" i="1"/>
  <c r="V599" i="1"/>
  <c r="U599" i="1"/>
  <c r="R600" i="1"/>
  <c r="AP600" i="1" s="1"/>
  <c r="Q600" i="1"/>
  <c r="AO600" i="1" s="1"/>
  <c r="X600" i="1"/>
  <c r="AQ600" i="1" s="1"/>
  <c r="P613" i="1"/>
  <c r="Q615" i="1"/>
  <c r="AO615" i="1" s="1"/>
  <c r="AW631" i="1"/>
  <c r="V644" i="1"/>
  <c r="U644" i="1"/>
  <c r="P647" i="1"/>
  <c r="R649" i="1"/>
  <c r="AP649" i="1" s="1"/>
  <c r="P658" i="1"/>
  <c r="U658" i="1"/>
  <c r="V658" i="1"/>
  <c r="R692" i="1"/>
  <c r="AP692" i="1" s="1"/>
  <c r="Q512" i="1"/>
  <c r="AO512" i="1" s="1"/>
  <c r="Q520" i="1"/>
  <c r="AO520" i="1" s="1"/>
  <c r="P579" i="1"/>
  <c r="R582" i="1"/>
  <c r="AP582" i="1" s="1"/>
  <c r="R586" i="1"/>
  <c r="AP586" i="1" s="1"/>
  <c r="S590" i="1"/>
  <c r="S592" i="1"/>
  <c r="S594" i="1"/>
  <c r="S596" i="1"/>
  <c r="S598" i="1"/>
  <c r="S600" i="1"/>
  <c r="P602" i="1"/>
  <c r="R615" i="1"/>
  <c r="AP615" i="1" s="1"/>
  <c r="P644" i="1"/>
  <c r="S649" i="1"/>
  <c r="U656" i="1"/>
  <c r="P656" i="1"/>
  <c r="X660" i="1"/>
  <c r="AQ660" i="1" s="1"/>
  <c r="S660" i="1"/>
  <c r="R660" i="1"/>
  <c r="AP660" i="1" s="1"/>
  <c r="Q660" i="1"/>
  <c r="AO660" i="1" s="1"/>
  <c r="N810" i="1"/>
  <c r="N812" i="1" s="1"/>
  <c r="O669" i="1"/>
  <c r="U690" i="1"/>
  <c r="V690" i="1"/>
  <c r="P690" i="1"/>
  <c r="R512" i="1"/>
  <c r="AP512" i="1" s="1"/>
  <c r="R520" i="1"/>
  <c r="AP520" i="1" s="1"/>
  <c r="AB582" i="1"/>
  <c r="AU582" i="1" s="1"/>
  <c r="AA582" i="1"/>
  <c r="AT582" i="1" s="1"/>
  <c r="AR632" i="1"/>
  <c r="V619" i="1"/>
  <c r="U619" i="1"/>
  <c r="V623" i="1"/>
  <c r="U623" i="1"/>
  <c r="V627" i="1"/>
  <c r="U627" i="1"/>
  <c r="X646" i="1"/>
  <c r="AQ646" i="1" s="1"/>
  <c r="S646" i="1"/>
  <c r="R646" i="1"/>
  <c r="AP646" i="1" s="1"/>
  <c r="P682" i="1"/>
  <c r="U682" i="1"/>
  <c r="V682" i="1"/>
  <c r="S714" i="1"/>
  <c r="R714" i="1"/>
  <c r="AP714" i="1" s="1"/>
  <c r="X714" i="1"/>
  <c r="AQ714" i="1" s="1"/>
  <c r="T720" i="1"/>
  <c r="AB720" i="1"/>
  <c r="AU720" i="1" s="1"/>
  <c r="AA720" i="1"/>
  <c r="AE662" i="1"/>
  <c r="AW810" i="1"/>
  <c r="AW812" i="1" s="1"/>
  <c r="V672" i="1"/>
  <c r="U672" i="1"/>
  <c r="P672" i="1"/>
  <c r="P675" i="1"/>
  <c r="U675" i="1"/>
  <c r="U694" i="1"/>
  <c r="P694" i="1"/>
  <c r="U612" i="1"/>
  <c r="U614" i="1" s="1"/>
  <c r="AX662" i="1"/>
  <c r="U649" i="1"/>
  <c r="R678" i="1"/>
  <c r="AP678" i="1" s="1"/>
  <c r="X678" i="1"/>
  <c r="AQ678" i="1" s="1"/>
  <c r="S678" i="1"/>
  <c r="Q678" i="1"/>
  <c r="AO678" i="1" s="1"/>
  <c r="U698" i="1"/>
  <c r="V698" i="1"/>
  <c r="P698" i="1"/>
  <c r="P704" i="1"/>
  <c r="U704" i="1"/>
  <c r="S707" i="1"/>
  <c r="U713" i="1"/>
  <c r="P713" i="1"/>
  <c r="V713" i="1"/>
  <c r="S770" i="1"/>
  <c r="X770" i="1"/>
  <c r="AQ770" i="1" s="1"/>
  <c r="R770" i="1"/>
  <c r="AP770" i="1" s="1"/>
  <c r="Q770" i="1"/>
  <c r="AO770" i="1" s="1"/>
  <c r="L591" i="1"/>
  <c r="L604" i="1" s="1"/>
  <c r="L605" i="1" s="1"/>
  <c r="V612" i="1"/>
  <c r="U615" i="1"/>
  <c r="AY631" i="1"/>
  <c r="AY632" i="1" s="1"/>
  <c r="U618" i="1"/>
  <c r="U622" i="1"/>
  <c r="U626" i="1"/>
  <c r="V649" i="1"/>
  <c r="P671" i="1"/>
  <c r="U671" i="1"/>
  <c r="V671" i="1"/>
  <c r="R674" i="1"/>
  <c r="AP674" i="1" s="1"/>
  <c r="X674" i="1"/>
  <c r="AQ674" i="1" s="1"/>
  <c r="V675" i="1"/>
  <c r="X697" i="1"/>
  <c r="AQ697" i="1" s="1"/>
  <c r="S697" i="1"/>
  <c r="R700" i="1"/>
  <c r="AP700" i="1" s="1"/>
  <c r="X700" i="1"/>
  <c r="AQ700" i="1" s="1"/>
  <c r="P709" i="1"/>
  <c r="V709" i="1"/>
  <c r="X717" i="1"/>
  <c r="AQ717" i="1" s="1"/>
  <c r="S717" i="1"/>
  <c r="R717" i="1"/>
  <c r="AP717" i="1" s="1"/>
  <c r="Q717" i="1"/>
  <c r="AO717" i="1" s="1"/>
  <c r="X612" i="1"/>
  <c r="AQ612" i="1" s="1"/>
  <c r="V615" i="1"/>
  <c r="V618" i="1"/>
  <c r="V622" i="1"/>
  <c r="V626" i="1"/>
  <c r="R630" i="1"/>
  <c r="AP630" i="1" s="1"/>
  <c r="AY661" i="1"/>
  <c r="AY662" i="1" s="1"/>
  <c r="R653" i="1"/>
  <c r="AP653" i="1" s="1"/>
  <c r="V659" i="1"/>
  <c r="P659" i="1"/>
  <c r="U659" i="1"/>
  <c r="Q674" i="1"/>
  <c r="AO674" i="1" s="1"/>
  <c r="P677" i="1"/>
  <c r="V677" i="1"/>
  <c r="U677" i="1"/>
  <c r="X685" i="1"/>
  <c r="AQ685" i="1" s="1"/>
  <c r="S685" i="1"/>
  <c r="P686" i="1"/>
  <c r="X689" i="1"/>
  <c r="AQ689" i="1" s="1"/>
  <c r="S689" i="1"/>
  <c r="R689" i="1"/>
  <c r="AP689" i="1" s="1"/>
  <c r="Q689" i="1"/>
  <c r="AO689" i="1" s="1"/>
  <c r="P693" i="1"/>
  <c r="V694" i="1"/>
  <c r="Q697" i="1"/>
  <c r="AO697" i="1" s="1"/>
  <c r="Q700" i="1"/>
  <c r="AO700" i="1" s="1"/>
  <c r="V704" i="1"/>
  <c r="U709" i="1"/>
  <c r="P752" i="1"/>
  <c r="U752" i="1"/>
  <c r="V752" i="1"/>
  <c r="P768" i="1"/>
  <c r="U768" i="1"/>
  <c r="V768" i="1"/>
  <c r="AR661" i="1"/>
  <c r="AR662" i="1" s="1"/>
  <c r="Q673" i="1"/>
  <c r="AO673" i="1" s="1"/>
  <c r="R673" i="1"/>
  <c r="AP673" i="1" s="1"/>
  <c r="X673" i="1"/>
  <c r="AQ673" i="1" s="1"/>
  <c r="AB674" i="1"/>
  <c r="AU674" i="1" s="1"/>
  <c r="T674" i="1"/>
  <c r="U681" i="1"/>
  <c r="V681" i="1"/>
  <c r="AB700" i="1"/>
  <c r="AU700" i="1" s="1"/>
  <c r="T700" i="1"/>
  <c r="U703" i="1"/>
  <c r="V703" i="1"/>
  <c r="P703" i="1"/>
  <c r="U716" i="1"/>
  <c r="V716" i="1"/>
  <c r="P716" i="1"/>
  <c r="Q719" i="1"/>
  <c r="AO719" i="1" s="1"/>
  <c r="S719" i="1"/>
  <c r="R719" i="1"/>
  <c r="AP719" i="1" s="1"/>
  <c r="X719" i="1"/>
  <c r="AQ719" i="1" s="1"/>
  <c r="R721" i="1"/>
  <c r="AP721" i="1" s="1"/>
  <c r="X721" i="1"/>
  <c r="AQ721" i="1" s="1"/>
  <c r="S721" i="1"/>
  <c r="Q721" i="1"/>
  <c r="AO721" i="1" s="1"/>
  <c r="P724" i="1"/>
  <c r="U724" i="1"/>
  <c r="V724" i="1"/>
  <c r="AS661" i="1"/>
  <c r="AS662" i="1" s="1"/>
  <c r="AR810" i="1"/>
  <c r="AR812" i="1" s="1"/>
  <c r="V670" i="1"/>
  <c r="U670" i="1"/>
  <c r="P670" i="1"/>
  <c r="S673" i="1"/>
  <c r="AA674" i="1"/>
  <c r="AT674" i="1" s="1"/>
  <c r="P681" i="1"/>
  <c r="P683" i="1"/>
  <c r="V683" i="1"/>
  <c r="V684" i="1"/>
  <c r="U684" i="1"/>
  <c r="P684" i="1"/>
  <c r="P695" i="1"/>
  <c r="U695" i="1"/>
  <c r="Q696" i="1"/>
  <c r="AO696" i="1" s="1"/>
  <c r="S696" i="1"/>
  <c r="R696" i="1"/>
  <c r="AP696" i="1" s="1"/>
  <c r="S699" i="1"/>
  <c r="X699" i="1"/>
  <c r="AQ699" i="1" s="1"/>
  <c r="R699" i="1"/>
  <c r="AP699" i="1" s="1"/>
  <c r="Q699" i="1"/>
  <c r="AO699" i="1" s="1"/>
  <c r="X702" i="1"/>
  <c r="AQ702" i="1" s="1"/>
  <c r="S702" i="1"/>
  <c r="Q702" i="1"/>
  <c r="AO702" i="1" s="1"/>
  <c r="P706" i="1"/>
  <c r="V706" i="1"/>
  <c r="U706" i="1"/>
  <c r="U714" i="1"/>
  <c r="V714" i="1"/>
  <c r="AS810" i="1"/>
  <c r="AS812" i="1" s="1"/>
  <c r="V701" i="1"/>
  <c r="U701" i="1"/>
  <c r="P732" i="1"/>
  <c r="U732" i="1"/>
  <c r="V732" i="1"/>
  <c r="U765" i="1"/>
  <c r="P765" i="1"/>
  <c r="V765" i="1"/>
  <c r="P795" i="1"/>
  <c r="U795" i="1"/>
  <c r="V795" i="1"/>
  <c r="R832" i="1"/>
  <c r="AP832" i="1" s="1"/>
  <c r="AV810" i="1"/>
  <c r="AV812" i="1" s="1"/>
  <c r="U674" i="1"/>
  <c r="V696" i="1"/>
  <c r="U696" i="1"/>
  <c r="P701" i="1"/>
  <c r="S705" i="1"/>
  <c r="X705" i="1"/>
  <c r="AQ705" i="1" s="1"/>
  <c r="P710" i="1"/>
  <c r="V710" i="1"/>
  <c r="U710" i="1"/>
  <c r="V711" i="1"/>
  <c r="P711" i="1"/>
  <c r="U711" i="1"/>
  <c r="P712" i="1"/>
  <c r="V719" i="1"/>
  <c r="U719" i="1"/>
  <c r="Q723" i="1"/>
  <c r="AO723" i="1" s="1"/>
  <c r="S723" i="1"/>
  <c r="X723" i="1"/>
  <c r="AQ723" i="1" s="1"/>
  <c r="V753" i="1"/>
  <c r="P753" i="1"/>
  <c r="U753" i="1"/>
  <c r="Q762" i="1"/>
  <c r="AO762" i="1" s="1"/>
  <c r="X762" i="1"/>
  <c r="AQ762" i="1" s="1"/>
  <c r="S762" i="1"/>
  <c r="R762" i="1"/>
  <c r="AP762" i="1" s="1"/>
  <c r="V772" i="1"/>
  <c r="U772" i="1"/>
  <c r="P772" i="1"/>
  <c r="S687" i="1"/>
  <c r="X687" i="1"/>
  <c r="AQ687" i="1" s="1"/>
  <c r="U718" i="1"/>
  <c r="P718" i="1"/>
  <c r="Q802" i="1"/>
  <c r="AO802" i="1" s="1"/>
  <c r="S802" i="1"/>
  <c r="X802" i="1"/>
  <c r="AQ802" i="1" s="1"/>
  <c r="R802" i="1"/>
  <c r="AP802" i="1" s="1"/>
  <c r="AY810" i="1"/>
  <c r="AY812" i="1" s="1"/>
  <c r="U691" i="1"/>
  <c r="V692" i="1"/>
  <c r="U692" i="1"/>
  <c r="V712" i="1"/>
  <c r="R715" i="1"/>
  <c r="AP715" i="1" s="1"/>
  <c r="R731" i="1"/>
  <c r="AP731" i="1" s="1"/>
  <c r="X731" i="1"/>
  <c r="AQ731" i="1" s="1"/>
  <c r="S731" i="1"/>
  <c r="Q731" i="1"/>
  <c r="AO731" i="1" s="1"/>
  <c r="V729" i="1"/>
  <c r="P729" i="1"/>
  <c r="U729" i="1"/>
  <c r="P736" i="1"/>
  <c r="U736" i="1"/>
  <c r="V736" i="1"/>
  <c r="V776" i="1"/>
  <c r="P776" i="1"/>
  <c r="X720" i="1"/>
  <c r="AQ720" i="1" s="1"/>
  <c r="Q720" i="1"/>
  <c r="AO720" i="1" s="1"/>
  <c r="V733" i="1"/>
  <c r="P733" i="1"/>
  <c r="AA735" i="1"/>
  <c r="AT735" i="1" s="1"/>
  <c r="V737" i="1"/>
  <c r="P737" i="1"/>
  <c r="V761" i="1"/>
  <c r="P761" i="1"/>
  <c r="U761" i="1"/>
  <c r="AB782" i="1"/>
  <c r="AU782" i="1" s="1"/>
  <c r="T782" i="1"/>
  <c r="AA782" i="1"/>
  <c r="AT782" i="1" s="1"/>
  <c r="V785" i="1"/>
  <c r="U785" i="1"/>
  <c r="P785" i="1"/>
  <c r="U790" i="1"/>
  <c r="P790" i="1"/>
  <c r="V790" i="1"/>
  <c r="AA823" i="1"/>
  <c r="AT823" i="1" s="1"/>
  <c r="AB823" i="1"/>
  <c r="AU823" i="1" s="1"/>
  <c r="T823" i="1"/>
  <c r="R720" i="1"/>
  <c r="AP720" i="1" s="1"/>
  <c r="U721" i="1"/>
  <c r="V721" i="1"/>
  <c r="P726" i="1"/>
  <c r="AB735" i="1"/>
  <c r="AU735" i="1" s="1"/>
  <c r="V749" i="1"/>
  <c r="P749" i="1"/>
  <c r="T750" i="1"/>
  <c r="AB750" i="1"/>
  <c r="AU750" i="1" s="1"/>
  <c r="AT750" i="1"/>
  <c r="R759" i="1"/>
  <c r="AP759" i="1" s="1"/>
  <c r="X759" i="1"/>
  <c r="AQ759" i="1" s="1"/>
  <c r="P760" i="1"/>
  <c r="U760" i="1"/>
  <c r="V760" i="1"/>
  <c r="P764" i="1"/>
  <c r="U764" i="1"/>
  <c r="R727" i="1"/>
  <c r="AP727" i="1" s="1"/>
  <c r="X727" i="1"/>
  <c r="AQ727" i="1" s="1"/>
  <c r="S727" i="1"/>
  <c r="P740" i="1"/>
  <c r="U740" i="1"/>
  <c r="V741" i="1"/>
  <c r="P741" i="1"/>
  <c r="P744" i="1"/>
  <c r="U744" i="1"/>
  <c r="P748" i="1"/>
  <c r="U748" i="1"/>
  <c r="V748" i="1"/>
  <c r="Q758" i="1"/>
  <c r="AO758" i="1" s="1"/>
  <c r="X758" i="1"/>
  <c r="AQ758" i="1" s="1"/>
  <c r="U763" i="1"/>
  <c r="P763" i="1"/>
  <c r="Q783" i="1"/>
  <c r="AO783" i="1" s="1"/>
  <c r="S783" i="1"/>
  <c r="X783" i="1"/>
  <c r="AQ783" i="1" s="1"/>
  <c r="R783" i="1"/>
  <c r="AP783" i="1" s="1"/>
  <c r="T791" i="1"/>
  <c r="AA791" i="1"/>
  <c r="AT791" i="1" s="1"/>
  <c r="AB791" i="1"/>
  <c r="AU791" i="1" s="1"/>
  <c r="P806" i="1"/>
  <c r="V806" i="1"/>
  <c r="U806" i="1"/>
  <c r="T872" i="1"/>
  <c r="AB872" i="1"/>
  <c r="AU872" i="1" s="1"/>
  <c r="AA872" i="1"/>
  <c r="AT872" i="1" s="1"/>
  <c r="P722" i="1"/>
  <c r="U722" i="1"/>
  <c r="Q727" i="1"/>
  <c r="AO727" i="1" s="1"/>
  <c r="R730" i="1"/>
  <c r="AP730" i="1" s="1"/>
  <c r="P734" i="1"/>
  <c r="R735" i="1"/>
  <c r="AP735" i="1" s="1"/>
  <c r="X735" i="1"/>
  <c r="AQ735" i="1" s="1"/>
  <c r="R743" i="1"/>
  <c r="AP743" i="1" s="1"/>
  <c r="X743" i="1"/>
  <c r="AQ743" i="1" s="1"/>
  <c r="S743" i="1"/>
  <c r="V745" i="1"/>
  <c r="P745" i="1"/>
  <c r="Q746" i="1"/>
  <c r="AO746" i="1" s="1"/>
  <c r="X746" i="1"/>
  <c r="AQ746" i="1" s="1"/>
  <c r="P756" i="1"/>
  <c r="U756" i="1"/>
  <c r="U767" i="1"/>
  <c r="P767" i="1"/>
  <c r="P787" i="1"/>
  <c r="U787" i="1"/>
  <c r="V787" i="1"/>
  <c r="R834" i="1"/>
  <c r="AP834" i="1" s="1"/>
  <c r="Q834" i="1"/>
  <c r="AO834" i="1" s="1"/>
  <c r="S834" i="1"/>
  <c r="X834" i="1"/>
  <c r="AQ834" i="1" s="1"/>
  <c r="AX810" i="1"/>
  <c r="AX812" i="1" s="1"/>
  <c r="U726" i="1"/>
  <c r="S730" i="1"/>
  <c r="U733" i="1"/>
  <c r="Q735" i="1"/>
  <c r="AO735" i="1" s="1"/>
  <c r="Q743" i="1"/>
  <c r="AO743" i="1" s="1"/>
  <c r="R746" i="1"/>
  <c r="AP746" i="1" s="1"/>
  <c r="U755" i="1"/>
  <c r="V755" i="1"/>
  <c r="S758" i="1"/>
  <c r="V759" i="1"/>
  <c r="V763" i="1"/>
  <c r="AB773" i="1"/>
  <c r="AU773" i="1" s="1"/>
  <c r="U778" i="1"/>
  <c r="V778" i="1"/>
  <c r="P778" i="1"/>
  <c r="P808" i="1"/>
  <c r="V808" i="1"/>
  <c r="U808" i="1"/>
  <c r="P728" i="1"/>
  <c r="U728" i="1"/>
  <c r="T746" i="1"/>
  <c r="AB746" i="1"/>
  <c r="AU746" i="1" s="1"/>
  <c r="Q754" i="1"/>
  <c r="AO754" i="1" s="1"/>
  <c r="X754" i="1"/>
  <c r="AQ754" i="1" s="1"/>
  <c r="R755" i="1"/>
  <c r="AP755" i="1" s="1"/>
  <c r="X755" i="1"/>
  <c r="AQ755" i="1" s="1"/>
  <c r="S755" i="1"/>
  <c r="U766" i="1"/>
  <c r="P766" i="1"/>
  <c r="V766" i="1"/>
  <c r="U774" i="1"/>
  <c r="V774" i="1"/>
  <c r="U777" i="1"/>
  <c r="P777" i="1"/>
  <c r="P825" i="1"/>
  <c r="U825" i="1"/>
  <c r="P831" i="1"/>
  <c r="U831" i="1"/>
  <c r="V831" i="1"/>
  <c r="S774" i="1"/>
  <c r="Q774" i="1"/>
  <c r="AO774" i="1" s="1"/>
  <c r="P781" i="1"/>
  <c r="V781" i="1"/>
  <c r="U781" i="1"/>
  <c r="AR861" i="1"/>
  <c r="AR864" i="1" s="1"/>
  <c r="X820" i="1"/>
  <c r="AQ820" i="1" s="1"/>
  <c r="S820" i="1"/>
  <c r="Q820" i="1"/>
  <c r="AO820" i="1" s="1"/>
  <c r="R820" i="1"/>
  <c r="AP820" i="1" s="1"/>
  <c r="R826" i="1"/>
  <c r="AP826" i="1" s="1"/>
  <c r="Q826" i="1"/>
  <c r="AO826" i="1" s="1"/>
  <c r="X826" i="1"/>
  <c r="AQ826" i="1" s="1"/>
  <c r="S826" i="1"/>
  <c r="P835" i="1"/>
  <c r="V835" i="1"/>
  <c r="U835" i="1"/>
  <c r="Q750" i="1"/>
  <c r="AO750" i="1" s="1"/>
  <c r="X750" i="1"/>
  <c r="AQ750" i="1" s="1"/>
  <c r="Q780" i="1"/>
  <c r="AO780" i="1" s="1"/>
  <c r="X780" i="1"/>
  <c r="AQ780" i="1" s="1"/>
  <c r="R780" i="1"/>
  <c r="AP780" i="1" s="1"/>
  <c r="P803" i="1"/>
  <c r="U803" i="1"/>
  <c r="V803" i="1"/>
  <c r="U837" i="1"/>
  <c r="V837" i="1"/>
  <c r="P837" i="1"/>
  <c r="V725" i="1"/>
  <c r="P725" i="1"/>
  <c r="X738" i="1"/>
  <c r="AQ738" i="1" s="1"/>
  <c r="R750" i="1"/>
  <c r="AP750" i="1" s="1"/>
  <c r="P751" i="1"/>
  <c r="V757" i="1"/>
  <c r="P757" i="1"/>
  <c r="U770" i="1"/>
  <c r="V770" i="1"/>
  <c r="S771" i="1"/>
  <c r="Q771" i="1"/>
  <c r="AO771" i="1" s="1"/>
  <c r="R771" i="1"/>
  <c r="AP771" i="1" s="1"/>
  <c r="P779" i="1"/>
  <c r="S780" i="1"/>
  <c r="X782" i="1"/>
  <c r="AQ782" i="1" s="1"/>
  <c r="R782" i="1"/>
  <c r="AP782" i="1" s="1"/>
  <c r="Q782" i="1"/>
  <c r="AO782" i="1" s="1"/>
  <c r="S809" i="1"/>
  <c r="X809" i="1"/>
  <c r="AQ809" i="1" s="1"/>
  <c r="R809" i="1"/>
  <c r="AP809" i="1" s="1"/>
  <c r="Q809" i="1"/>
  <c r="AO809" i="1" s="1"/>
  <c r="P829" i="1"/>
  <c r="U829" i="1"/>
  <c r="V829" i="1"/>
  <c r="U788" i="1"/>
  <c r="P788" i="1"/>
  <c r="S792" i="1"/>
  <c r="X792" i="1"/>
  <c r="AQ792" i="1" s="1"/>
  <c r="Q792" i="1"/>
  <c r="AO792" i="1" s="1"/>
  <c r="R792" i="1"/>
  <c r="AP792" i="1" s="1"/>
  <c r="R801" i="1"/>
  <c r="AP801" i="1" s="1"/>
  <c r="Q801" i="1"/>
  <c r="AO801" i="1" s="1"/>
  <c r="S801" i="1"/>
  <c r="Q822" i="1"/>
  <c r="AO822" i="1" s="1"/>
  <c r="X822" i="1"/>
  <c r="AQ822" i="1" s="1"/>
  <c r="R822" i="1"/>
  <c r="AP822" i="1" s="1"/>
  <c r="S822" i="1"/>
  <c r="P827" i="1"/>
  <c r="U827" i="1"/>
  <c r="P843" i="1"/>
  <c r="V843" i="1"/>
  <c r="U843" i="1"/>
  <c r="S789" i="1"/>
  <c r="X789" i="1"/>
  <c r="AQ789" i="1" s="1"/>
  <c r="R789" i="1"/>
  <c r="AP789" i="1" s="1"/>
  <c r="R769" i="1"/>
  <c r="AP769" i="1" s="1"/>
  <c r="R773" i="1"/>
  <c r="AP773" i="1" s="1"/>
  <c r="V788" i="1"/>
  <c r="P800" i="1"/>
  <c r="U800" i="1"/>
  <c r="X801" i="1"/>
  <c r="AQ801" i="1" s="1"/>
  <c r="R855" i="1"/>
  <c r="AP855" i="1" s="1"/>
  <c r="X855" i="1"/>
  <c r="AQ855" i="1" s="1"/>
  <c r="S855" i="1"/>
  <c r="Q855" i="1"/>
  <c r="AO855" i="1" s="1"/>
  <c r="AY861" i="1"/>
  <c r="AY864" i="1" s="1"/>
  <c r="S821" i="1"/>
  <c r="Q821" i="1"/>
  <c r="AO821" i="1" s="1"/>
  <c r="R821" i="1"/>
  <c r="AP821" i="1" s="1"/>
  <c r="X823" i="1"/>
  <c r="AQ823" i="1" s="1"/>
  <c r="Q823" i="1"/>
  <c r="AO823" i="1" s="1"/>
  <c r="R823" i="1"/>
  <c r="AP823" i="1" s="1"/>
  <c r="S841" i="1"/>
  <c r="X841" i="1"/>
  <c r="AQ841" i="1" s="1"/>
  <c r="Q841" i="1"/>
  <c r="AO841" i="1" s="1"/>
  <c r="X844" i="1"/>
  <c r="AQ844" i="1" s="1"/>
  <c r="Q844" i="1"/>
  <c r="AO844" i="1" s="1"/>
  <c r="S844" i="1"/>
  <c r="R844" i="1"/>
  <c r="AP844" i="1" s="1"/>
  <c r="S833" i="1"/>
  <c r="Q833" i="1"/>
  <c r="AO833" i="1" s="1"/>
  <c r="X833" i="1"/>
  <c r="AQ833" i="1" s="1"/>
  <c r="R833" i="1"/>
  <c r="AP833" i="1" s="1"/>
  <c r="P857" i="1"/>
  <c r="U857" i="1"/>
  <c r="V857" i="1"/>
  <c r="V773" i="1"/>
  <c r="R791" i="1"/>
  <c r="AP791" i="1" s="1"/>
  <c r="P794" i="1"/>
  <c r="V794" i="1"/>
  <c r="Q796" i="1"/>
  <c r="AO796" i="1" s="1"/>
  <c r="S796" i="1"/>
  <c r="P807" i="1"/>
  <c r="V807" i="1"/>
  <c r="U807" i="1"/>
  <c r="X821" i="1"/>
  <c r="AQ821" i="1" s="1"/>
  <c r="R836" i="1"/>
  <c r="AP836" i="1" s="1"/>
  <c r="Q836" i="1"/>
  <c r="AO836" i="1" s="1"/>
  <c r="S836" i="1"/>
  <c r="X836" i="1"/>
  <c r="AQ836" i="1" s="1"/>
  <c r="V842" i="1"/>
  <c r="U842" i="1"/>
  <c r="P842" i="1"/>
  <c r="P858" i="1"/>
  <c r="V858" i="1"/>
  <c r="U858" i="1"/>
  <c r="R793" i="1"/>
  <c r="AP793" i="1" s="1"/>
  <c r="Q793" i="1"/>
  <c r="AO793" i="1" s="1"/>
  <c r="P830" i="1"/>
  <c r="V830" i="1"/>
  <c r="U838" i="1"/>
  <c r="V838" i="1"/>
  <c r="AB847" i="1"/>
  <c r="AU847" i="1" s="1"/>
  <c r="AA847" i="1"/>
  <c r="AT847" i="1" s="1"/>
  <c r="N887" i="1"/>
  <c r="N888" i="1" s="1"/>
  <c r="O870" i="1"/>
  <c r="V871" i="1"/>
  <c r="P871" i="1"/>
  <c r="U871" i="1"/>
  <c r="V789" i="1"/>
  <c r="U789" i="1"/>
  <c r="V791" i="1"/>
  <c r="U791" i="1"/>
  <c r="S793" i="1"/>
  <c r="Q799" i="1"/>
  <c r="AO799" i="1" s="1"/>
  <c r="X799" i="1"/>
  <c r="AQ799" i="1" s="1"/>
  <c r="P805" i="1"/>
  <c r="U830" i="1"/>
  <c r="V836" i="1"/>
  <c r="U836" i="1"/>
  <c r="P838" i="1"/>
  <c r="T847" i="1"/>
  <c r="V874" i="1"/>
  <c r="P874" i="1"/>
  <c r="U874" i="1"/>
  <c r="V879" i="1"/>
  <c r="P879" i="1"/>
  <c r="U879" i="1"/>
  <c r="U824" i="1"/>
  <c r="P824" i="1"/>
  <c r="V824" i="1"/>
  <c r="V846" i="1"/>
  <c r="P846" i="1"/>
  <c r="U846" i="1"/>
  <c r="P877" i="1"/>
  <c r="U877" i="1"/>
  <c r="V877" i="1"/>
  <c r="P881" i="1"/>
  <c r="V881" i="1"/>
  <c r="U881" i="1"/>
  <c r="U849" i="1"/>
  <c r="P849" i="1"/>
  <c r="V849" i="1"/>
  <c r="R875" i="1"/>
  <c r="AP875" i="1" s="1"/>
  <c r="S875" i="1"/>
  <c r="X875" i="1"/>
  <c r="AQ875" i="1" s="1"/>
  <c r="Q875" i="1"/>
  <c r="AO875" i="1" s="1"/>
  <c r="V784" i="1"/>
  <c r="P786" i="1"/>
  <c r="U786" i="1"/>
  <c r="U820" i="1"/>
  <c r="V820" i="1"/>
  <c r="U798" i="1"/>
  <c r="P798" i="1"/>
  <c r="V840" i="1"/>
  <c r="U840" i="1"/>
  <c r="U845" i="1"/>
  <c r="V845" i="1"/>
  <c r="V847" i="1"/>
  <c r="U847" i="1"/>
  <c r="U860" i="1"/>
  <c r="P860" i="1"/>
  <c r="P873" i="1"/>
  <c r="V873" i="1"/>
  <c r="U876" i="1"/>
  <c r="V876" i="1"/>
  <c r="S840" i="1"/>
  <c r="Q840" i="1"/>
  <c r="AO840" i="1" s="1"/>
  <c r="X845" i="1"/>
  <c r="AQ845" i="1" s="1"/>
  <c r="R845" i="1"/>
  <c r="AP845" i="1" s="1"/>
  <c r="Q847" i="1"/>
  <c r="AO847" i="1" s="1"/>
  <c r="U851" i="1"/>
  <c r="P851" i="1"/>
  <c r="V851" i="1"/>
  <c r="S852" i="1"/>
  <c r="X852" i="1"/>
  <c r="AQ852" i="1" s="1"/>
  <c r="R852" i="1"/>
  <c r="AP852" i="1" s="1"/>
  <c r="U853" i="1"/>
  <c r="P853" i="1"/>
  <c r="R856" i="1"/>
  <c r="AP856" i="1" s="1"/>
  <c r="AR887" i="1"/>
  <c r="AR888" i="1" s="1"/>
  <c r="R876" i="1"/>
  <c r="AP876" i="1" s="1"/>
  <c r="S876" i="1"/>
  <c r="Q876" i="1"/>
  <c r="AO876" i="1" s="1"/>
  <c r="X876" i="1"/>
  <c r="AQ876" i="1" s="1"/>
  <c r="S878" i="1"/>
  <c r="R878" i="1"/>
  <c r="AP878" i="1" s="1"/>
  <c r="Q878" i="1"/>
  <c r="AO878" i="1" s="1"/>
  <c r="X878" i="1"/>
  <c r="AQ878" i="1" s="1"/>
  <c r="AW861" i="1"/>
  <c r="AW864" i="1" s="1"/>
  <c r="R840" i="1"/>
  <c r="AP840" i="1" s="1"/>
  <c r="Q845" i="1"/>
  <c r="AO845" i="1" s="1"/>
  <c r="R847" i="1"/>
  <c r="AP847" i="1" s="1"/>
  <c r="Q852" i="1"/>
  <c r="AO852" i="1" s="1"/>
  <c r="X854" i="1"/>
  <c r="AQ854" i="1" s="1"/>
  <c r="S854" i="1"/>
  <c r="Q854" i="1"/>
  <c r="AO854" i="1" s="1"/>
  <c r="V860" i="1"/>
  <c r="AS887" i="1"/>
  <c r="AS888" i="1" s="1"/>
  <c r="V899" i="1"/>
  <c r="O904" i="1"/>
  <c r="P899" i="1"/>
  <c r="U899" i="1"/>
  <c r="P839" i="1"/>
  <c r="U839" i="1"/>
  <c r="Z864" i="1"/>
  <c r="X886" i="1"/>
  <c r="AQ886" i="1" s="1"/>
  <c r="S886" i="1"/>
  <c r="Q886" i="1"/>
  <c r="AO886" i="1" s="1"/>
  <c r="R886" i="1"/>
  <c r="AP886" i="1" s="1"/>
  <c r="P897" i="1"/>
  <c r="U897" i="1"/>
  <c r="U898" i="1" s="1"/>
  <c r="V897" i="1"/>
  <c r="U797" i="1"/>
  <c r="V804" i="1"/>
  <c r="P804" i="1"/>
  <c r="N861" i="1"/>
  <c r="N864" i="1" s="1"/>
  <c r="O819" i="1"/>
  <c r="AX861" i="1"/>
  <c r="AX864" i="1" s="1"/>
  <c r="X848" i="1"/>
  <c r="AQ848" i="1" s="1"/>
  <c r="Q848" i="1"/>
  <c r="AO848" i="1" s="1"/>
  <c r="S850" i="1"/>
  <c r="X850" i="1"/>
  <c r="AQ850" i="1" s="1"/>
  <c r="O863" i="1"/>
  <c r="U862" i="1"/>
  <c r="U863" i="1" s="1"/>
  <c r="J905" i="1"/>
  <c r="V828" i="1"/>
  <c r="P828" i="1"/>
  <c r="AW887" i="1"/>
  <c r="AW888" i="1" s="1"/>
  <c r="X883" i="1"/>
  <c r="AQ883" i="1" s="1"/>
  <c r="S883" i="1"/>
  <c r="R883" i="1"/>
  <c r="AP883" i="1" s="1"/>
  <c r="Q883" i="1"/>
  <c r="AO883" i="1" s="1"/>
  <c r="X896" i="1"/>
  <c r="AQ896" i="1" s="1"/>
  <c r="R900" i="1"/>
  <c r="AP900" i="1" s="1"/>
  <c r="X900" i="1"/>
  <c r="AQ900" i="1" s="1"/>
  <c r="S900" i="1"/>
  <c r="V922" i="1"/>
  <c r="P922" i="1"/>
  <c r="U922" i="1"/>
  <c r="AX898" i="1"/>
  <c r="P895" i="1"/>
  <c r="O898" i="1"/>
  <c r="O905" i="1" s="1"/>
  <c r="V895" i="1"/>
  <c r="N898" i="1"/>
  <c r="N905" i="1" s="1"/>
  <c r="L915" i="1"/>
  <c r="L916" i="1" s="1"/>
  <c r="L924" i="1" s="1"/>
  <c r="K916" i="1"/>
  <c r="K924" i="1" s="1"/>
  <c r="J864" i="1"/>
  <c r="AF864" i="1"/>
  <c r="AG872" i="1"/>
  <c r="AZ872" i="1" s="1"/>
  <c r="R872" i="1"/>
  <c r="AP872" i="1" s="1"/>
  <c r="Q872" i="1"/>
  <c r="AO872" i="1" s="1"/>
  <c r="X872" i="1"/>
  <c r="AQ872" i="1" s="1"/>
  <c r="AW905" i="1"/>
  <c r="P902" i="1"/>
  <c r="V902" i="1"/>
  <c r="U902" i="1"/>
  <c r="V878" i="1"/>
  <c r="U878" i="1"/>
  <c r="V880" i="1"/>
  <c r="P880" i="1"/>
  <c r="R884" i="1"/>
  <c r="AP884" i="1" s="1"/>
  <c r="X884" i="1"/>
  <c r="AQ884" i="1" s="1"/>
  <c r="AS861" i="1"/>
  <c r="AS864" i="1" s="1"/>
  <c r="U882" i="1"/>
  <c r="P885" i="1"/>
  <c r="U885" i="1"/>
  <c r="AD905" i="1"/>
  <c r="N924" i="1"/>
  <c r="AR923" i="1"/>
  <c r="AR924" i="1" s="1"/>
  <c r="S901" i="1"/>
  <c r="R901" i="1"/>
  <c r="AP901" i="1" s="1"/>
  <c r="X901" i="1"/>
  <c r="AQ901" i="1" s="1"/>
  <c r="Q901" i="1"/>
  <c r="AO901" i="1" s="1"/>
  <c r="O916" i="1"/>
  <c r="V914" i="1"/>
  <c r="U914" i="1"/>
  <c r="U915" i="1"/>
  <c r="V915" i="1"/>
  <c r="P915" i="1"/>
  <c r="P919" i="1"/>
  <c r="U919" i="1"/>
  <c r="V919" i="1"/>
  <c r="P914" i="1"/>
  <c r="AV924" i="1"/>
  <c r="L904" i="1"/>
  <c r="L905" i="1" s="1"/>
  <c r="V917" i="1"/>
  <c r="AY887" i="1"/>
  <c r="AY888" i="1" s="1"/>
  <c r="P882" i="1"/>
  <c r="S917" i="1"/>
  <c r="R917" i="1"/>
  <c r="X917" i="1"/>
  <c r="Q917" i="1"/>
  <c r="U921" i="1"/>
  <c r="P921" i="1"/>
  <c r="AY898" i="1"/>
  <c r="Z905" i="1"/>
  <c r="AV923" i="1"/>
  <c r="R903" i="1"/>
  <c r="AP903" i="1" s="1"/>
  <c r="X903" i="1"/>
  <c r="AQ903" i="1" s="1"/>
  <c r="AX916" i="1"/>
  <c r="AY904" i="1"/>
  <c r="J924" i="1"/>
  <c r="U920" i="1"/>
  <c r="AS923" i="1"/>
  <c r="AS924" i="1" s="1"/>
  <c r="R920" i="1"/>
  <c r="AP920" i="1" s="1"/>
  <c r="U916" i="1" l="1"/>
  <c r="AB617" i="1"/>
  <c r="AU617" i="1" s="1"/>
  <c r="AY605" i="1"/>
  <c r="X450" i="1"/>
  <c r="AQ450" i="1" s="1"/>
  <c r="AG171" i="1"/>
  <c r="AZ171" i="1" s="1"/>
  <c r="S183" i="1"/>
  <c r="AS905" i="1"/>
  <c r="AS932" i="1" s="1"/>
  <c r="N294" i="1"/>
  <c r="AG845" i="1"/>
  <c r="AZ845" i="1" s="1"/>
  <c r="X796" i="1"/>
  <c r="AQ796" i="1" s="1"/>
  <c r="AA586" i="1"/>
  <c r="O639" i="1"/>
  <c r="AG492" i="1"/>
  <c r="AZ492" i="1" s="1"/>
  <c r="X558" i="1"/>
  <c r="AQ558" i="1" s="1"/>
  <c r="S566" i="1"/>
  <c r="AB566" i="1" s="1"/>
  <c r="AU566" i="1" s="1"/>
  <c r="AX423" i="1"/>
  <c r="O358" i="1"/>
  <c r="R450" i="1"/>
  <c r="AP450" i="1" s="1"/>
  <c r="AG377" i="1"/>
  <c r="AZ377" i="1" s="1"/>
  <c r="AV193" i="1"/>
  <c r="Q92" i="1"/>
  <c r="AO92" i="1" s="1"/>
  <c r="AA16" i="1"/>
  <c r="X183" i="1"/>
  <c r="AQ183" i="1" s="1"/>
  <c r="R102" i="1"/>
  <c r="AP102" i="1" s="1"/>
  <c r="X126" i="1"/>
  <c r="AQ126" i="1" s="1"/>
  <c r="O17" i="1"/>
  <c r="AA9" i="1"/>
  <c r="AT9" i="1" s="1"/>
  <c r="AG700" i="1"/>
  <c r="AZ700" i="1" s="1"/>
  <c r="R566" i="1"/>
  <c r="AP566" i="1" s="1"/>
  <c r="X92" i="1"/>
  <c r="AQ92" i="1" s="1"/>
  <c r="AV358" i="1"/>
  <c r="AB586" i="1"/>
  <c r="AU586" i="1" s="1"/>
  <c r="U638" i="1"/>
  <c r="U639" i="1" s="1"/>
  <c r="X566" i="1"/>
  <c r="AQ566" i="1" s="1"/>
  <c r="AA480" i="1"/>
  <c r="AT480" i="1" s="1"/>
  <c r="N423" i="1"/>
  <c r="S450" i="1"/>
  <c r="P338" i="1"/>
  <c r="Q372" i="1"/>
  <c r="AO372" i="1" s="1"/>
  <c r="N386" i="1"/>
  <c r="X156" i="1"/>
  <c r="AQ156" i="1" s="1"/>
  <c r="AG182" i="1"/>
  <c r="AZ182" i="1" s="1"/>
  <c r="R92" i="1"/>
  <c r="AP92" i="1" s="1"/>
  <c r="Q183" i="1"/>
  <c r="AO183" i="1" s="1"/>
  <c r="AB16" i="1"/>
  <c r="AU16" i="1" s="1"/>
  <c r="P66" i="1"/>
  <c r="Q126" i="1"/>
  <c r="AO126" i="1" s="1"/>
  <c r="AV134" i="1"/>
  <c r="AC932" i="1"/>
  <c r="AG746" i="1"/>
  <c r="AZ746" i="1" s="1"/>
  <c r="X739" i="1"/>
  <c r="AQ739" i="1" s="1"/>
  <c r="AB715" i="1"/>
  <c r="AU715" i="1" s="1"/>
  <c r="N605" i="1"/>
  <c r="R341" i="1"/>
  <c r="AP341" i="1" s="1"/>
  <c r="Q311" i="1"/>
  <c r="AO311" i="1" s="1"/>
  <c r="AR423" i="1"/>
  <c r="X311" i="1"/>
  <c r="AQ311" i="1" s="1"/>
  <c r="AB480" i="1"/>
  <c r="AU480" i="1" s="1"/>
  <c r="AG270" i="1"/>
  <c r="AZ270" i="1" s="1"/>
  <c r="X276" i="1"/>
  <c r="AQ276" i="1" s="1"/>
  <c r="R372" i="1"/>
  <c r="P42" i="1"/>
  <c r="Q903" i="1"/>
  <c r="AO903" i="1" s="1"/>
  <c r="S903" i="1"/>
  <c r="AR36" i="1"/>
  <c r="S372" i="1"/>
  <c r="AX905" i="1"/>
  <c r="Q797" i="1"/>
  <c r="AO797" i="1" s="1"/>
  <c r="X586" i="1"/>
  <c r="AQ586" i="1" s="1"/>
  <c r="AG504" i="1"/>
  <c r="AZ504" i="1" s="1"/>
  <c r="R311" i="1"/>
  <c r="AP311" i="1" s="1"/>
  <c r="Q449" i="1"/>
  <c r="AO449" i="1" s="1"/>
  <c r="AS386" i="1"/>
  <c r="U338" i="1"/>
  <c r="Q310" i="1"/>
  <c r="AO310" i="1" s="1"/>
  <c r="AA311" i="1"/>
  <c r="AT311" i="1" s="1"/>
  <c r="Q148" i="1"/>
  <c r="AO148" i="1" s="1"/>
  <c r="AY134" i="1"/>
  <c r="P7" i="1"/>
  <c r="P17" i="1" s="1"/>
  <c r="O218" i="1"/>
  <c r="K632" i="1"/>
  <c r="Q617" i="1"/>
  <c r="AO617" i="1" s="1"/>
  <c r="AY905" i="1"/>
  <c r="AX924" i="1"/>
  <c r="X775" i="1"/>
  <c r="AQ775" i="1" s="1"/>
  <c r="Q586" i="1"/>
  <c r="AO586" i="1" s="1"/>
  <c r="AW632" i="1"/>
  <c r="Q495" i="1"/>
  <c r="AO495" i="1" s="1"/>
  <c r="AB311" i="1"/>
  <c r="AU311" i="1" s="1"/>
  <c r="AG255" i="1"/>
  <c r="AZ255" i="1" s="1"/>
  <c r="AW193" i="1"/>
  <c r="S147" i="1"/>
  <c r="U7" i="1"/>
  <c r="U17" i="1" s="1"/>
  <c r="V218" i="1"/>
  <c r="AX386" i="1"/>
  <c r="P918" i="1"/>
  <c r="U918" i="1"/>
  <c r="V918" i="1"/>
  <c r="Q164" i="1"/>
  <c r="AO164" i="1" s="1"/>
  <c r="R164" i="1"/>
  <c r="AP164" i="1" s="1"/>
  <c r="X625" i="1"/>
  <c r="AQ625" i="1" s="1"/>
  <c r="Q625" i="1"/>
  <c r="AO625" i="1" s="1"/>
  <c r="S625" i="1"/>
  <c r="R625" i="1"/>
  <c r="AP625" i="1" s="1"/>
  <c r="X376" i="1"/>
  <c r="AQ376" i="1" s="1"/>
  <c r="R376" i="1"/>
  <c r="AP376" i="1" s="1"/>
  <c r="Q376" i="1"/>
  <c r="AO376" i="1" s="1"/>
  <c r="AB187" i="1"/>
  <c r="AU187" i="1" s="1"/>
  <c r="AA187" i="1"/>
  <c r="AT187" i="1" s="1"/>
  <c r="S248" i="1"/>
  <c r="R248" i="1"/>
  <c r="AP248" i="1" s="1"/>
  <c r="R141" i="1"/>
  <c r="AP141" i="1" s="1"/>
  <c r="S141" i="1"/>
  <c r="AB190" i="1"/>
  <c r="AU190" i="1" s="1"/>
  <c r="AA190" i="1"/>
  <c r="AT190" i="1" s="1"/>
  <c r="U923" i="1"/>
  <c r="Q896" i="1"/>
  <c r="AO896" i="1" s="1"/>
  <c r="Q856" i="1"/>
  <c r="AO856" i="1" s="1"/>
  <c r="S797" i="1"/>
  <c r="T797" i="1" s="1"/>
  <c r="AG823" i="1"/>
  <c r="AZ823" i="1" s="1"/>
  <c r="AA773" i="1"/>
  <c r="R775" i="1"/>
  <c r="AP775" i="1" s="1"/>
  <c r="X747" i="1"/>
  <c r="AQ747" i="1" s="1"/>
  <c r="X742" i="1"/>
  <c r="AQ742" i="1" s="1"/>
  <c r="Q832" i="1"/>
  <c r="AO832" i="1" s="1"/>
  <c r="R707" i="1"/>
  <c r="AP707" i="1" s="1"/>
  <c r="AA715" i="1"/>
  <c r="AT715" i="1" s="1"/>
  <c r="Q707" i="1"/>
  <c r="AO707" i="1" s="1"/>
  <c r="R516" i="1"/>
  <c r="AP516" i="1" s="1"/>
  <c r="Q516" i="1"/>
  <c r="AO516" i="1" s="1"/>
  <c r="X676" i="1"/>
  <c r="AQ676" i="1" s="1"/>
  <c r="AG516" i="1"/>
  <c r="AZ516" i="1" s="1"/>
  <c r="AS605" i="1"/>
  <c r="AR605" i="1"/>
  <c r="Q558" i="1"/>
  <c r="AO558" i="1" s="1"/>
  <c r="AG520" i="1"/>
  <c r="AZ520" i="1" s="1"/>
  <c r="X488" i="1"/>
  <c r="AQ488" i="1" s="1"/>
  <c r="R404" i="1"/>
  <c r="AP404" i="1" s="1"/>
  <c r="Q345" i="1"/>
  <c r="AO345" i="1" s="1"/>
  <c r="Q313" i="1"/>
  <c r="AO313" i="1" s="1"/>
  <c r="Q225" i="1"/>
  <c r="AO225" i="1" s="1"/>
  <c r="AA345" i="1"/>
  <c r="AT345" i="1" s="1"/>
  <c r="T187" i="1"/>
  <c r="V157" i="1"/>
  <c r="Q190" i="1"/>
  <c r="AO190" i="1" s="1"/>
  <c r="Q187" i="1"/>
  <c r="AO187" i="1" s="1"/>
  <c r="X151" i="1"/>
  <c r="AQ151" i="1" s="1"/>
  <c r="O44" i="1"/>
  <c r="AW134" i="1"/>
  <c r="V49" i="1"/>
  <c r="V50" i="1" s="1"/>
  <c r="AB14" i="1"/>
  <c r="AU14" i="1" s="1"/>
  <c r="Q65" i="1"/>
  <c r="AO65" i="1" s="1"/>
  <c r="X154" i="1"/>
  <c r="AQ154" i="1" s="1"/>
  <c r="AW931" i="1"/>
  <c r="S884" i="1"/>
  <c r="Q884" i="1"/>
  <c r="AO884" i="1" s="1"/>
  <c r="S848" i="1"/>
  <c r="R848" i="1"/>
  <c r="AP848" i="1" s="1"/>
  <c r="Q759" i="1"/>
  <c r="AO759" i="1" s="1"/>
  <c r="S759" i="1"/>
  <c r="R754" i="1"/>
  <c r="AP754" i="1" s="1"/>
  <c r="S754" i="1"/>
  <c r="X652" i="1"/>
  <c r="AQ652" i="1" s="1"/>
  <c r="S652" i="1"/>
  <c r="R652" i="1"/>
  <c r="AP652" i="1" s="1"/>
  <c r="Q652" i="1"/>
  <c r="AO652" i="1" s="1"/>
  <c r="Q730" i="1"/>
  <c r="AO730" i="1" s="1"/>
  <c r="X730" i="1"/>
  <c r="AQ730" i="1" s="1"/>
  <c r="X366" i="1"/>
  <c r="AQ366" i="1" s="1"/>
  <c r="R366" i="1"/>
  <c r="AP366" i="1" s="1"/>
  <c r="Q366" i="1"/>
  <c r="AO366" i="1" s="1"/>
  <c r="AX315" i="1"/>
  <c r="V862" i="1"/>
  <c r="V863" i="1" s="1"/>
  <c r="P862" i="1"/>
  <c r="X653" i="1"/>
  <c r="AQ653" i="1" s="1"/>
  <c r="S653" i="1"/>
  <c r="Q653" i="1"/>
  <c r="AO653" i="1" s="1"/>
  <c r="X257" i="1"/>
  <c r="AQ257" i="1" s="1"/>
  <c r="S257" i="1"/>
  <c r="AC936" i="1"/>
  <c r="X410" i="1"/>
  <c r="AQ410" i="1" s="1"/>
  <c r="S410" i="1"/>
  <c r="Q484" i="1"/>
  <c r="AO484" i="1" s="1"/>
  <c r="S484" i="1"/>
  <c r="X383" i="1"/>
  <c r="AQ383" i="1" s="1"/>
  <c r="S383" i="1"/>
  <c r="R383" i="1"/>
  <c r="AP383" i="1" s="1"/>
  <c r="Q383" i="1"/>
  <c r="AO383" i="1" s="1"/>
  <c r="Q175" i="1"/>
  <c r="AO175" i="1" s="1"/>
  <c r="S175" i="1"/>
  <c r="X265" i="1"/>
  <c r="AQ265" i="1" s="1"/>
  <c r="R265" i="1"/>
  <c r="AP265" i="1" s="1"/>
  <c r="S265" i="1"/>
  <c r="S149" i="1"/>
  <c r="X149" i="1"/>
  <c r="AQ149" i="1" s="1"/>
  <c r="Q19" i="1"/>
  <c r="AO19" i="1" s="1"/>
  <c r="R19" i="1"/>
  <c r="AP19" i="1" s="1"/>
  <c r="S19" i="1"/>
  <c r="X261" i="1"/>
  <c r="AQ261" i="1" s="1"/>
  <c r="S261" i="1"/>
  <c r="Q261" i="1"/>
  <c r="AO261" i="1" s="1"/>
  <c r="R261" i="1"/>
  <c r="AP261" i="1" s="1"/>
  <c r="X769" i="1"/>
  <c r="AQ769" i="1" s="1"/>
  <c r="Q769" i="1"/>
  <c r="AO769" i="1" s="1"/>
  <c r="S769" i="1"/>
  <c r="R784" i="1"/>
  <c r="AP784" i="1" s="1"/>
  <c r="Q784" i="1"/>
  <c r="AO784" i="1" s="1"/>
  <c r="R691" i="1"/>
  <c r="AP691" i="1" s="1"/>
  <c r="Q691" i="1"/>
  <c r="AO691" i="1" s="1"/>
  <c r="V904" i="1"/>
  <c r="S856" i="1"/>
  <c r="T856" i="1" s="1"/>
  <c r="X797" i="1"/>
  <c r="AQ797" i="1" s="1"/>
  <c r="R747" i="1"/>
  <c r="AP747" i="1" s="1"/>
  <c r="Q742" i="1"/>
  <c r="AO742" i="1" s="1"/>
  <c r="X715" i="1"/>
  <c r="AQ715" i="1" s="1"/>
  <c r="S832" i="1"/>
  <c r="X691" i="1"/>
  <c r="AQ691" i="1" s="1"/>
  <c r="AG674" i="1"/>
  <c r="AZ674" i="1" s="1"/>
  <c r="AA650" i="1"/>
  <c r="AT650" i="1" s="1"/>
  <c r="R676" i="1"/>
  <c r="AP676" i="1" s="1"/>
  <c r="R558" i="1"/>
  <c r="AP558" i="1" s="1"/>
  <c r="Q488" i="1"/>
  <c r="AO488" i="1" s="1"/>
  <c r="X478" i="1"/>
  <c r="AQ478" i="1" s="1"/>
  <c r="Q341" i="1"/>
  <c r="AO341" i="1" s="1"/>
  <c r="U385" i="1"/>
  <c r="X345" i="1"/>
  <c r="AQ345" i="1" s="1"/>
  <c r="S376" i="1"/>
  <c r="T376" i="1" s="1"/>
  <c r="R313" i="1"/>
  <c r="AP313" i="1" s="1"/>
  <c r="R225" i="1"/>
  <c r="AP225" i="1" s="1"/>
  <c r="X225" i="1"/>
  <c r="AQ225" i="1" s="1"/>
  <c r="S164" i="1"/>
  <c r="T164" i="1" s="1"/>
  <c r="S151" i="1"/>
  <c r="AA225" i="1"/>
  <c r="AT225" i="1" s="1"/>
  <c r="R190" i="1"/>
  <c r="AP190" i="1" s="1"/>
  <c r="R187" i="1"/>
  <c r="AP187" i="1" s="1"/>
  <c r="AS193" i="1"/>
  <c r="U42" i="1"/>
  <c r="U44" i="1" s="1"/>
  <c r="AD936" i="1"/>
  <c r="R154" i="1"/>
  <c r="AP154" i="1" s="1"/>
  <c r="R65" i="1"/>
  <c r="AP65" i="1" s="1"/>
  <c r="S799" i="1"/>
  <c r="R799" i="1"/>
  <c r="AP799" i="1" s="1"/>
  <c r="X578" i="1"/>
  <c r="AQ578" i="1" s="1"/>
  <c r="R578" i="1"/>
  <c r="AP578" i="1" s="1"/>
  <c r="Q578" i="1"/>
  <c r="AO578" i="1" s="1"/>
  <c r="S578" i="1"/>
  <c r="S407" i="1"/>
  <c r="Q407" i="1"/>
  <c r="AO407" i="1" s="1"/>
  <c r="V287" i="1"/>
  <c r="V293" i="1" s="1"/>
  <c r="V294" i="1" s="1"/>
  <c r="U287" i="1"/>
  <c r="P287" i="1"/>
  <c r="X630" i="1"/>
  <c r="AQ630" i="1" s="1"/>
  <c r="Q630" i="1"/>
  <c r="AO630" i="1" s="1"/>
  <c r="S630" i="1"/>
  <c r="AB496" i="1"/>
  <c r="AU496" i="1" s="1"/>
  <c r="AA496" i="1"/>
  <c r="R655" i="1"/>
  <c r="AP655" i="1" s="1"/>
  <c r="X655" i="1"/>
  <c r="AQ655" i="1" s="1"/>
  <c r="Q655" i="1"/>
  <c r="AO655" i="1" s="1"/>
  <c r="S655" i="1"/>
  <c r="AR386" i="1"/>
  <c r="R354" i="1"/>
  <c r="AP354" i="1" s="1"/>
  <c r="S354" i="1"/>
  <c r="S472" i="1"/>
  <c r="Q472" i="1"/>
  <c r="AO472" i="1" s="1"/>
  <c r="S156" i="1"/>
  <c r="Q156" i="1"/>
  <c r="AO156" i="1" s="1"/>
  <c r="S6" i="1"/>
  <c r="R6" i="1"/>
  <c r="AP6" i="1" s="1"/>
  <c r="Q6" i="1"/>
  <c r="AO6" i="1" s="1"/>
  <c r="X6" i="1"/>
  <c r="AQ6" i="1" s="1"/>
  <c r="Q179" i="1"/>
  <c r="AO179" i="1" s="1"/>
  <c r="S179" i="1"/>
  <c r="U293" i="1"/>
  <c r="U294" i="1" s="1"/>
  <c r="AB488" i="1"/>
  <c r="AU488" i="1" s="1"/>
  <c r="AA488" i="1"/>
  <c r="S400" i="1"/>
  <c r="X400" i="1"/>
  <c r="AQ400" i="1" s="1"/>
  <c r="S896" i="1"/>
  <c r="X784" i="1"/>
  <c r="AQ784" i="1" s="1"/>
  <c r="S742" i="1"/>
  <c r="Q775" i="1"/>
  <c r="AO775" i="1" s="1"/>
  <c r="O923" i="1"/>
  <c r="O924" i="1" s="1"/>
  <c r="AG847" i="1"/>
  <c r="AZ847" i="1" s="1"/>
  <c r="S784" i="1"/>
  <c r="S747" i="1"/>
  <c r="AB747" i="1" s="1"/>
  <c r="AU747" i="1" s="1"/>
  <c r="Q715" i="1"/>
  <c r="AO715" i="1" s="1"/>
  <c r="S691" i="1"/>
  <c r="AA691" i="1" s="1"/>
  <c r="T650" i="1"/>
  <c r="X516" i="1"/>
  <c r="AQ516" i="1" s="1"/>
  <c r="S676" i="1"/>
  <c r="AB676" i="1" s="1"/>
  <c r="AU676" i="1" s="1"/>
  <c r="R488" i="1"/>
  <c r="AP488" i="1" s="1"/>
  <c r="R478" i="1"/>
  <c r="AP478" i="1" s="1"/>
  <c r="L423" i="1"/>
  <c r="R345" i="1"/>
  <c r="AP345" i="1" s="1"/>
  <c r="T516" i="1"/>
  <c r="S404" i="1"/>
  <c r="T404" i="1" s="1"/>
  <c r="X341" i="1"/>
  <c r="AQ341" i="1" s="1"/>
  <c r="AA341" i="1"/>
  <c r="AT341" i="1" s="1"/>
  <c r="Q248" i="1"/>
  <c r="AO248" i="1" s="1"/>
  <c r="X248" i="1"/>
  <c r="AQ248" i="1" s="1"/>
  <c r="X164" i="1"/>
  <c r="AQ164" i="1" s="1"/>
  <c r="AB225" i="1"/>
  <c r="AU225" i="1" s="1"/>
  <c r="AG349" i="1"/>
  <c r="AZ349" i="1" s="1"/>
  <c r="P157" i="1"/>
  <c r="AE932" i="1"/>
  <c r="Q154" i="1"/>
  <c r="AO154" i="1" s="1"/>
  <c r="AA14" i="1"/>
  <c r="AT14" i="1" s="1"/>
  <c r="X920" i="1"/>
  <c r="AQ920" i="1" s="1"/>
  <c r="Q920" i="1"/>
  <c r="AO920" i="1" s="1"/>
  <c r="Q850" i="1"/>
  <c r="AO850" i="1" s="1"/>
  <c r="R850" i="1"/>
  <c r="AP850" i="1" s="1"/>
  <c r="S738" i="1"/>
  <c r="R738" i="1"/>
  <c r="AP738" i="1" s="1"/>
  <c r="X654" i="1"/>
  <c r="AQ654" i="1" s="1"/>
  <c r="Q654" i="1"/>
  <c r="AO654" i="1" s="1"/>
  <c r="S654" i="1"/>
  <c r="R654" i="1"/>
  <c r="AP654" i="1" s="1"/>
  <c r="S739" i="1"/>
  <c r="Q739" i="1"/>
  <c r="AO739" i="1" s="1"/>
  <c r="AW315" i="1"/>
  <c r="X651" i="1"/>
  <c r="AQ651" i="1" s="1"/>
  <c r="R651" i="1"/>
  <c r="AP651" i="1" s="1"/>
  <c r="Q651" i="1"/>
  <c r="AO651" i="1" s="1"/>
  <c r="S651" i="1"/>
  <c r="Q61" i="1"/>
  <c r="AO61" i="1" s="1"/>
  <c r="AF61" i="1"/>
  <c r="AY61" i="1" s="1"/>
  <c r="X406" i="1"/>
  <c r="AQ406" i="1" s="1"/>
  <c r="S406" i="1"/>
  <c r="X621" i="1"/>
  <c r="AQ621" i="1" s="1"/>
  <c r="R621" i="1"/>
  <c r="AP621" i="1" s="1"/>
  <c r="Q621" i="1"/>
  <c r="AO621" i="1" s="1"/>
  <c r="S621" i="1"/>
  <c r="P80" i="1"/>
  <c r="U80" i="1"/>
  <c r="U82" i="1" s="1"/>
  <c r="U83" i="1" s="1"/>
  <c r="AF57" i="1"/>
  <c r="AY57" i="1" s="1"/>
  <c r="Q57" i="1"/>
  <c r="AO57" i="1" s="1"/>
  <c r="AB163" i="1"/>
  <c r="AU163" i="1" s="1"/>
  <c r="T163" i="1"/>
  <c r="R148" i="1"/>
  <c r="AP148" i="1" s="1"/>
  <c r="S148" i="1"/>
  <c r="R874" i="1"/>
  <c r="AP874" i="1" s="1"/>
  <c r="S874" i="1"/>
  <c r="Q874" i="1"/>
  <c r="AO874" i="1" s="1"/>
  <c r="X874" i="1"/>
  <c r="AQ874" i="1" s="1"/>
  <c r="AB678" i="1"/>
  <c r="AU678" i="1" s="1"/>
  <c r="AA678" i="1"/>
  <c r="T678" i="1"/>
  <c r="AB369" i="1"/>
  <c r="AU369" i="1" s="1"/>
  <c r="AA369" i="1"/>
  <c r="T369" i="1"/>
  <c r="S302" i="1"/>
  <c r="R302" i="1"/>
  <c r="AP302" i="1" s="1"/>
  <c r="Q302" i="1"/>
  <c r="X302" i="1"/>
  <c r="AQ302" i="1" s="1"/>
  <c r="X191" i="1"/>
  <c r="AQ191" i="1" s="1"/>
  <c r="S191" i="1"/>
  <c r="R191" i="1"/>
  <c r="AP191" i="1" s="1"/>
  <c r="Q191" i="1"/>
  <c r="AO191" i="1" s="1"/>
  <c r="S778" i="1"/>
  <c r="Q778" i="1"/>
  <c r="AO778" i="1" s="1"/>
  <c r="R778" i="1"/>
  <c r="AP778" i="1" s="1"/>
  <c r="X778" i="1"/>
  <c r="AQ778" i="1" s="1"/>
  <c r="S722" i="1"/>
  <c r="Q722" i="1"/>
  <c r="AO722" i="1" s="1"/>
  <c r="X722" i="1"/>
  <c r="AQ722" i="1" s="1"/>
  <c r="R722" i="1"/>
  <c r="AP722" i="1" s="1"/>
  <c r="S764" i="1"/>
  <c r="R764" i="1"/>
  <c r="AP764" i="1" s="1"/>
  <c r="X764" i="1"/>
  <c r="AQ764" i="1" s="1"/>
  <c r="Q764" i="1"/>
  <c r="AO764" i="1" s="1"/>
  <c r="X647" i="1"/>
  <c r="AQ647" i="1" s="1"/>
  <c r="S647" i="1"/>
  <c r="R647" i="1"/>
  <c r="AP647" i="1" s="1"/>
  <c r="Q647" i="1"/>
  <c r="AO647" i="1" s="1"/>
  <c r="T562" i="1"/>
  <c r="AB562" i="1"/>
  <c r="AU562" i="1" s="1"/>
  <c r="AA562" i="1"/>
  <c r="S528" i="1"/>
  <c r="R528" i="1"/>
  <c r="AP528" i="1" s="1"/>
  <c r="Q528" i="1"/>
  <c r="AO528" i="1" s="1"/>
  <c r="X528" i="1"/>
  <c r="AQ528" i="1" s="1"/>
  <c r="T570" i="1"/>
  <c r="AA570" i="1"/>
  <c r="AB570" i="1"/>
  <c r="AU570" i="1" s="1"/>
  <c r="S535" i="1"/>
  <c r="R535" i="1"/>
  <c r="AP535" i="1" s="1"/>
  <c r="Q535" i="1"/>
  <c r="AO535" i="1" s="1"/>
  <c r="X535" i="1"/>
  <c r="AQ535" i="1" s="1"/>
  <c r="AA618" i="1"/>
  <c r="T618" i="1"/>
  <c r="AB618" i="1"/>
  <c r="AU618" i="1" s="1"/>
  <c r="T495" i="1"/>
  <c r="AB495" i="1"/>
  <c r="AU495" i="1" s="1"/>
  <c r="AA495" i="1"/>
  <c r="T443" i="1"/>
  <c r="AB443" i="1"/>
  <c r="AU443" i="1" s="1"/>
  <c r="AA443" i="1"/>
  <c r="AO300" i="1"/>
  <c r="AG324" i="1"/>
  <c r="AZ324" i="1" s="1"/>
  <c r="Q42" i="1"/>
  <c r="P44" i="1"/>
  <c r="S42" i="1"/>
  <c r="R42" i="1"/>
  <c r="X42" i="1"/>
  <c r="S189" i="1"/>
  <c r="R189" i="1"/>
  <c r="AP189" i="1" s="1"/>
  <c r="Q189" i="1"/>
  <c r="AO189" i="1" s="1"/>
  <c r="X189" i="1"/>
  <c r="AQ189" i="1" s="1"/>
  <c r="T122" i="1"/>
  <c r="AB122" i="1"/>
  <c r="AU122" i="1" s="1"/>
  <c r="AA122" i="1"/>
  <c r="T126" i="1"/>
  <c r="AB126" i="1"/>
  <c r="AU126" i="1" s="1"/>
  <c r="AA126" i="1"/>
  <c r="T90" i="1"/>
  <c r="AB90" i="1"/>
  <c r="AU90" i="1" s="1"/>
  <c r="AA90" i="1"/>
  <c r="S919" i="1"/>
  <c r="X919" i="1"/>
  <c r="AQ919" i="1" s="1"/>
  <c r="Q919" i="1"/>
  <c r="AO919" i="1" s="1"/>
  <c r="R919" i="1"/>
  <c r="AP919" i="1" s="1"/>
  <c r="X885" i="1"/>
  <c r="AQ885" i="1" s="1"/>
  <c r="S885" i="1"/>
  <c r="R885" i="1"/>
  <c r="AP885" i="1" s="1"/>
  <c r="Q885" i="1"/>
  <c r="AO885" i="1" s="1"/>
  <c r="V898" i="1"/>
  <c r="V905" i="1" s="1"/>
  <c r="T900" i="1"/>
  <c r="AB900" i="1"/>
  <c r="AU900" i="1" s="1"/>
  <c r="AA900" i="1"/>
  <c r="R897" i="1"/>
  <c r="AP897" i="1" s="1"/>
  <c r="Q897" i="1"/>
  <c r="AO897" i="1" s="1"/>
  <c r="X897" i="1"/>
  <c r="AQ897" i="1" s="1"/>
  <c r="S897" i="1"/>
  <c r="AB878" i="1"/>
  <c r="AU878" i="1" s="1"/>
  <c r="T878" i="1"/>
  <c r="AA878" i="1"/>
  <c r="T840" i="1"/>
  <c r="AB840" i="1"/>
  <c r="AU840" i="1" s="1"/>
  <c r="AA840" i="1"/>
  <c r="S871" i="1"/>
  <c r="Q871" i="1"/>
  <c r="AO871" i="1" s="1"/>
  <c r="X871" i="1"/>
  <c r="AQ871" i="1" s="1"/>
  <c r="R871" i="1"/>
  <c r="AP871" i="1" s="1"/>
  <c r="AB784" i="1"/>
  <c r="AU784" i="1" s="1"/>
  <c r="T784" i="1"/>
  <c r="AA784" i="1"/>
  <c r="S831" i="1"/>
  <c r="Q831" i="1"/>
  <c r="AO831" i="1" s="1"/>
  <c r="X831" i="1"/>
  <c r="AQ831" i="1" s="1"/>
  <c r="R831" i="1"/>
  <c r="AP831" i="1" s="1"/>
  <c r="S766" i="1"/>
  <c r="R766" i="1"/>
  <c r="AP766" i="1" s="1"/>
  <c r="Q766" i="1"/>
  <c r="AO766" i="1" s="1"/>
  <c r="X766" i="1"/>
  <c r="AQ766" i="1" s="1"/>
  <c r="AB775" i="1"/>
  <c r="AU775" i="1" s="1"/>
  <c r="T775" i="1"/>
  <c r="AA775" i="1"/>
  <c r="S761" i="1"/>
  <c r="Q761" i="1"/>
  <c r="AO761" i="1" s="1"/>
  <c r="X761" i="1"/>
  <c r="AQ761" i="1" s="1"/>
  <c r="R761" i="1"/>
  <c r="AP761" i="1" s="1"/>
  <c r="T762" i="1"/>
  <c r="AB762" i="1"/>
  <c r="AU762" i="1" s="1"/>
  <c r="AA762" i="1"/>
  <c r="S795" i="1"/>
  <c r="R795" i="1"/>
  <c r="AP795" i="1" s="1"/>
  <c r="Q795" i="1"/>
  <c r="AO795" i="1" s="1"/>
  <c r="X795" i="1"/>
  <c r="AQ795" i="1" s="1"/>
  <c r="Q706" i="1"/>
  <c r="AO706" i="1" s="1"/>
  <c r="X706" i="1"/>
  <c r="AQ706" i="1" s="1"/>
  <c r="S706" i="1"/>
  <c r="R706" i="1"/>
  <c r="AP706" i="1" s="1"/>
  <c r="AA699" i="1"/>
  <c r="AB699" i="1"/>
  <c r="AU699" i="1" s="1"/>
  <c r="T699" i="1"/>
  <c r="AA721" i="1"/>
  <c r="T721" i="1"/>
  <c r="AB721" i="1"/>
  <c r="AU721" i="1" s="1"/>
  <c r="R644" i="1"/>
  <c r="AP644" i="1" s="1"/>
  <c r="X644" i="1"/>
  <c r="AQ644" i="1" s="1"/>
  <c r="S644" i="1"/>
  <c r="Q644" i="1"/>
  <c r="AO644" i="1" s="1"/>
  <c r="T594" i="1"/>
  <c r="AB594" i="1"/>
  <c r="AU594" i="1" s="1"/>
  <c r="AA594" i="1"/>
  <c r="Q579" i="1"/>
  <c r="AO579" i="1" s="1"/>
  <c r="X579" i="1"/>
  <c r="AQ579" i="1" s="1"/>
  <c r="S579" i="1"/>
  <c r="R579" i="1"/>
  <c r="AP579" i="1" s="1"/>
  <c r="X658" i="1"/>
  <c r="AQ658" i="1" s="1"/>
  <c r="S658" i="1"/>
  <c r="R658" i="1"/>
  <c r="AP658" i="1" s="1"/>
  <c r="Q658" i="1"/>
  <c r="AO658" i="1" s="1"/>
  <c r="AT617" i="1"/>
  <c r="S611" i="1"/>
  <c r="P614" i="1"/>
  <c r="R611" i="1"/>
  <c r="Q611" i="1"/>
  <c r="X611" i="1"/>
  <c r="T522" i="1"/>
  <c r="AB522" i="1"/>
  <c r="AU522" i="1" s="1"/>
  <c r="AA522" i="1"/>
  <c r="AB498" i="1"/>
  <c r="AU498" i="1" s="1"/>
  <c r="AA498" i="1"/>
  <c r="T498" i="1"/>
  <c r="S514" i="1"/>
  <c r="R514" i="1"/>
  <c r="AP514" i="1" s="1"/>
  <c r="Q514" i="1"/>
  <c r="AO514" i="1" s="1"/>
  <c r="X514" i="1"/>
  <c r="AQ514" i="1" s="1"/>
  <c r="T503" i="1"/>
  <c r="AB503" i="1"/>
  <c r="AU503" i="1" s="1"/>
  <c r="AA503" i="1"/>
  <c r="S560" i="1"/>
  <c r="R560" i="1"/>
  <c r="AP560" i="1" s="1"/>
  <c r="Q560" i="1"/>
  <c r="AO560" i="1" s="1"/>
  <c r="X560" i="1"/>
  <c r="AQ560" i="1" s="1"/>
  <c r="T511" i="1"/>
  <c r="AB511" i="1"/>
  <c r="AU511" i="1" s="1"/>
  <c r="AA511" i="1"/>
  <c r="R708" i="1"/>
  <c r="AP708" i="1" s="1"/>
  <c r="Q708" i="1"/>
  <c r="AO708" i="1" s="1"/>
  <c r="X708" i="1"/>
  <c r="AQ708" i="1" s="1"/>
  <c r="S708" i="1"/>
  <c r="T550" i="1"/>
  <c r="AB550" i="1"/>
  <c r="AU550" i="1" s="1"/>
  <c r="AA550" i="1"/>
  <c r="AG512" i="1"/>
  <c r="AZ512" i="1" s="1"/>
  <c r="S567" i="1"/>
  <c r="R567" i="1"/>
  <c r="AP567" i="1" s="1"/>
  <c r="Q567" i="1"/>
  <c r="AO567" i="1" s="1"/>
  <c r="X567" i="1"/>
  <c r="AQ567" i="1" s="1"/>
  <c r="T542" i="1"/>
  <c r="AB542" i="1"/>
  <c r="AU542" i="1" s="1"/>
  <c r="AA542" i="1"/>
  <c r="S405" i="1"/>
  <c r="R405" i="1"/>
  <c r="AP405" i="1" s="1"/>
  <c r="Q405" i="1"/>
  <c r="AO405" i="1" s="1"/>
  <c r="X405" i="1"/>
  <c r="AQ405" i="1" s="1"/>
  <c r="Q466" i="1"/>
  <c r="AO466" i="1" s="1"/>
  <c r="S466" i="1"/>
  <c r="R466" i="1"/>
  <c r="AP466" i="1" s="1"/>
  <c r="X466" i="1"/>
  <c r="AQ466" i="1" s="1"/>
  <c r="T449" i="1"/>
  <c r="AB449" i="1"/>
  <c r="AU449" i="1" s="1"/>
  <c r="AA449" i="1"/>
  <c r="AB430" i="1"/>
  <c r="AU430" i="1" s="1"/>
  <c r="AA430" i="1"/>
  <c r="T430" i="1"/>
  <c r="AB553" i="1"/>
  <c r="AU553" i="1" s="1"/>
  <c r="AA553" i="1"/>
  <c r="T553" i="1"/>
  <c r="R445" i="1"/>
  <c r="AP445" i="1" s="1"/>
  <c r="Q445" i="1"/>
  <c r="AO445" i="1" s="1"/>
  <c r="X445" i="1"/>
  <c r="AQ445" i="1" s="1"/>
  <c r="S445" i="1"/>
  <c r="X394" i="1"/>
  <c r="AQ394" i="1" s="1"/>
  <c r="S394" i="1"/>
  <c r="R394" i="1"/>
  <c r="AP394" i="1" s="1"/>
  <c r="Q394" i="1"/>
  <c r="AO394" i="1" s="1"/>
  <c r="T530" i="1"/>
  <c r="AB530" i="1"/>
  <c r="AU530" i="1" s="1"/>
  <c r="AA530" i="1"/>
  <c r="AB500" i="1"/>
  <c r="AU500" i="1" s="1"/>
  <c r="AA500" i="1"/>
  <c r="T500" i="1"/>
  <c r="T510" i="1"/>
  <c r="AB510" i="1"/>
  <c r="AU510" i="1" s="1"/>
  <c r="AA510" i="1"/>
  <c r="X254" i="1"/>
  <c r="AQ254" i="1" s="1"/>
  <c r="S254" i="1"/>
  <c r="Q254" i="1"/>
  <c r="AO254" i="1" s="1"/>
  <c r="R254" i="1"/>
  <c r="AP254" i="1" s="1"/>
  <c r="R356" i="1"/>
  <c r="AP356" i="1" s="1"/>
  <c r="X356" i="1"/>
  <c r="AQ356" i="1" s="1"/>
  <c r="S356" i="1"/>
  <c r="Q356" i="1"/>
  <c r="AO356" i="1" s="1"/>
  <c r="AP435" i="1"/>
  <c r="X258" i="1"/>
  <c r="AQ258" i="1" s="1"/>
  <c r="R258" i="1"/>
  <c r="AP258" i="1" s="1"/>
  <c r="Q258" i="1"/>
  <c r="AO258" i="1" s="1"/>
  <c r="S258" i="1"/>
  <c r="S453" i="1"/>
  <c r="R453" i="1"/>
  <c r="AP453" i="1" s="1"/>
  <c r="Q453" i="1"/>
  <c r="AO453" i="1" s="1"/>
  <c r="X453" i="1"/>
  <c r="AQ453" i="1" s="1"/>
  <c r="T333" i="1"/>
  <c r="AA333" i="1"/>
  <c r="AB333" i="1"/>
  <c r="AU333" i="1" s="1"/>
  <c r="Q399" i="1"/>
  <c r="AO399" i="1" s="1"/>
  <c r="X399" i="1"/>
  <c r="AQ399" i="1" s="1"/>
  <c r="S399" i="1"/>
  <c r="R399" i="1"/>
  <c r="AP399" i="1" s="1"/>
  <c r="T276" i="1"/>
  <c r="AB276" i="1"/>
  <c r="AU276" i="1" s="1"/>
  <c r="AA276" i="1"/>
  <c r="S340" i="1"/>
  <c r="R340" i="1"/>
  <c r="AP340" i="1" s="1"/>
  <c r="Q340" i="1"/>
  <c r="AO340" i="1" s="1"/>
  <c r="X340" i="1"/>
  <c r="AQ340" i="1" s="1"/>
  <c r="AB145" i="1"/>
  <c r="AU145" i="1" s="1"/>
  <c r="AA145" i="1"/>
  <c r="T145" i="1"/>
  <c r="AG245" i="1"/>
  <c r="AZ245" i="1" s="1"/>
  <c r="N278" i="1"/>
  <c r="S285" i="1"/>
  <c r="R285" i="1"/>
  <c r="Q285" i="1"/>
  <c r="X285" i="1"/>
  <c r="P286" i="1"/>
  <c r="T242" i="1"/>
  <c r="AB242" i="1"/>
  <c r="AU242" i="1" s="1"/>
  <c r="AA242" i="1"/>
  <c r="AT242" i="1" s="1"/>
  <c r="R253" i="1"/>
  <c r="AP253" i="1" s="1"/>
  <c r="S253" i="1"/>
  <c r="Q253" i="1"/>
  <c r="AO253" i="1" s="1"/>
  <c r="X253" i="1"/>
  <c r="AQ253" i="1" s="1"/>
  <c r="S200" i="1"/>
  <c r="R200" i="1"/>
  <c r="AP200" i="1" s="1"/>
  <c r="X200" i="1"/>
  <c r="AQ200" i="1" s="1"/>
  <c r="Q200" i="1"/>
  <c r="AO200" i="1" s="1"/>
  <c r="X120" i="1"/>
  <c r="AQ120" i="1" s="1"/>
  <c r="S120" i="1"/>
  <c r="R120" i="1"/>
  <c r="AP120" i="1" s="1"/>
  <c r="Q120" i="1"/>
  <c r="AO120" i="1" s="1"/>
  <c r="R110" i="1"/>
  <c r="AP110" i="1" s="1"/>
  <c r="Q110" i="1"/>
  <c r="AO110" i="1" s="1"/>
  <c r="X110" i="1"/>
  <c r="AQ110" i="1" s="1"/>
  <c r="S110" i="1"/>
  <c r="O50" i="1"/>
  <c r="AB25" i="1"/>
  <c r="AU25" i="1" s="1"/>
  <c r="T25" i="1"/>
  <c r="AA25" i="1"/>
  <c r="AE936" i="1"/>
  <c r="AE938" i="1" s="1"/>
  <c r="Q273" i="1"/>
  <c r="AO273" i="1" s="1"/>
  <c r="X273" i="1"/>
  <c r="AQ273" i="1" s="1"/>
  <c r="S273" i="1"/>
  <c r="R273" i="1"/>
  <c r="AP273" i="1" s="1"/>
  <c r="X312" i="1"/>
  <c r="AQ312" i="1" s="1"/>
  <c r="S312" i="1"/>
  <c r="R312" i="1"/>
  <c r="AP312" i="1" s="1"/>
  <c r="Q312" i="1"/>
  <c r="AO312" i="1" s="1"/>
  <c r="AT64" i="1"/>
  <c r="AG64" i="1"/>
  <c r="AZ64" i="1" s="1"/>
  <c r="AD932" i="1"/>
  <c r="S105" i="1"/>
  <c r="R105" i="1"/>
  <c r="AP105" i="1" s="1"/>
  <c r="Q105" i="1"/>
  <c r="AO105" i="1" s="1"/>
  <c r="T117" i="1"/>
  <c r="AB117" i="1"/>
  <c r="AU117" i="1" s="1"/>
  <c r="AA117" i="1"/>
  <c r="T97" i="1"/>
  <c r="AB97" i="1"/>
  <c r="AU97" i="1" s="1"/>
  <c r="AA97" i="1"/>
  <c r="AY193" i="1"/>
  <c r="X111" i="1"/>
  <c r="AQ111" i="1" s="1"/>
  <c r="S111" i="1"/>
  <c r="R111" i="1"/>
  <c r="AP111" i="1" s="1"/>
  <c r="Q111" i="1"/>
  <c r="AO111" i="1" s="1"/>
  <c r="R99" i="1"/>
  <c r="AP99" i="1" s="1"/>
  <c r="Q99" i="1"/>
  <c r="AO99" i="1" s="1"/>
  <c r="X99" i="1"/>
  <c r="AQ99" i="1" s="1"/>
  <c r="S99" i="1"/>
  <c r="T72" i="1"/>
  <c r="AB72" i="1"/>
  <c r="AU72" i="1" s="1"/>
  <c r="AA72" i="1"/>
  <c r="AB252" i="1"/>
  <c r="AU252" i="1" s="1"/>
  <c r="AA252" i="1"/>
  <c r="T252" i="1"/>
  <c r="Q174" i="1"/>
  <c r="AO174" i="1" s="1"/>
  <c r="X174" i="1"/>
  <c r="AQ174" i="1" s="1"/>
  <c r="S174" i="1"/>
  <c r="R174" i="1"/>
  <c r="AP174" i="1" s="1"/>
  <c r="AB228" i="1"/>
  <c r="AU228" i="1" s="1"/>
  <c r="AA228" i="1"/>
  <c r="T228" i="1"/>
  <c r="S176" i="1"/>
  <c r="X176" i="1"/>
  <c r="AQ176" i="1" s="1"/>
  <c r="R176" i="1"/>
  <c r="AP176" i="1" s="1"/>
  <c r="Q176" i="1"/>
  <c r="AO176" i="1" s="1"/>
  <c r="O35" i="1"/>
  <c r="P18" i="1"/>
  <c r="V18" i="1"/>
  <c r="V35" i="1" s="1"/>
  <c r="U18" i="1"/>
  <c r="U35" i="1" s="1"/>
  <c r="U36" i="1" s="1"/>
  <c r="Q132" i="1"/>
  <c r="AO132" i="1" s="1"/>
  <c r="S132" i="1"/>
  <c r="R132" i="1"/>
  <c r="AP132" i="1" s="1"/>
  <c r="X132" i="1"/>
  <c r="AQ132" i="1" s="1"/>
  <c r="AA920" i="1"/>
  <c r="AB920" i="1"/>
  <c r="AU920" i="1" s="1"/>
  <c r="T920" i="1"/>
  <c r="S922" i="1"/>
  <c r="R922" i="1"/>
  <c r="AP922" i="1" s="1"/>
  <c r="X922" i="1"/>
  <c r="AQ922" i="1" s="1"/>
  <c r="Q922" i="1"/>
  <c r="AO922" i="1" s="1"/>
  <c r="T673" i="1"/>
  <c r="AB673" i="1"/>
  <c r="AU673" i="1" s="1"/>
  <c r="AA673" i="1"/>
  <c r="S599" i="1"/>
  <c r="R599" i="1"/>
  <c r="AP599" i="1" s="1"/>
  <c r="Q599" i="1"/>
  <c r="AO599" i="1" s="1"/>
  <c r="X599" i="1"/>
  <c r="AQ599" i="1" s="1"/>
  <c r="T624" i="1"/>
  <c r="AB624" i="1"/>
  <c r="AU624" i="1" s="1"/>
  <c r="AA624" i="1"/>
  <c r="V640" i="1"/>
  <c r="V661" i="1" s="1"/>
  <c r="V662" i="1" s="1"/>
  <c r="U640" i="1"/>
  <c r="U661" i="1" s="1"/>
  <c r="U662" i="1" s="1"/>
  <c r="P640" i="1"/>
  <c r="O661" i="1"/>
  <c r="O662" i="1" s="1"/>
  <c r="T490" i="1"/>
  <c r="AB490" i="1"/>
  <c r="AU490" i="1" s="1"/>
  <c r="AA490" i="1"/>
  <c r="X489" i="1"/>
  <c r="AQ489" i="1" s="1"/>
  <c r="S489" i="1"/>
  <c r="R489" i="1"/>
  <c r="AP489" i="1" s="1"/>
  <c r="Q489" i="1"/>
  <c r="AO489" i="1" s="1"/>
  <c r="AA411" i="1"/>
  <c r="T411" i="1"/>
  <c r="AB411" i="1"/>
  <c r="AU411" i="1" s="1"/>
  <c r="T395" i="1"/>
  <c r="AB395" i="1"/>
  <c r="AU395" i="1" s="1"/>
  <c r="AA395" i="1"/>
  <c r="R352" i="1"/>
  <c r="AP352" i="1" s="1"/>
  <c r="S352" i="1"/>
  <c r="Q352" i="1"/>
  <c r="AO352" i="1" s="1"/>
  <c r="X352" i="1"/>
  <c r="AQ352" i="1" s="1"/>
  <c r="R441" i="1"/>
  <c r="AP441" i="1" s="1"/>
  <c r="Q441" i="1"/>
  <c r="AO441" i="1" s="1"/>
  <c r="X441" i="1"/>
  <c r="AQ441" i="1" s="1"/>
  <c r="S441" i="1"/>
  <c r="S335" i="1"/>
  <c r="R335" i="1"/>
  <c r="AP335" i="1" s="1"/>
  <c r="Q335" i="1"/>
  <c r="AO335" i="1" s="1"/>
  <c r="X335" i="1"/>
  <c r="AQ335" i="1" s="1"/>
  <c r="T348" i="1"/>
  <c r="AB348" i="1"/>
  <c r="AU348" i="1" s="1"/>
  <c r="AA348" i="1"/>
  <c r="O371" i="1"/>
  <c r="O386" i="1" s="1"/>
  <c r="V365" i="1"/>
  <c r="V371" i="1" s="1"/>
  <c r="U365" i="1"/>
  <c r="U371" i="1" s="1"/>
  <c r="U386" i="1" s="1"/>
  <c r="P365" i="1"/>
  <c r="AA166" i="1"/>
  <c r="AB166" i="1"/>
  <c r="AU166" i="1" s="1"/>
  <c r="T166" i="1"/>
  <c r="T292" i="1"/>
  <c r="AB292" i="1"/>
  <c r="AU292" i="1" s="1"/>
  <c r="AA292" i="1"/>
  <c r="X71" i="1"/>
  <c r="AQ71" i="1" s="1"/>
  <c r="S71" i="1"/>
  <c r="R71" i="1"/>
  <c r="AP71" i="1" s="1"/>
  <c r="Q71" i="1"/>
  <c r="AO71" i="1" s="1"/>
  <c r="S162" i="1"/>
  <c r="X162" i="1"/>
  <c r="AQ162" i="1" s="1"/>
  <c r="R162" i="1"/>
  <c r="AP162" i="1" s="1"/>
  <c r="Q162" i="1"/>
  <c r="AO162" i="1" s="1"/>
  <c r="AA56" i="1"/>
  <c r="T56" i="1"/>
  <c r="Q921" i="1"/>
  <c r="AO921" i="1" s="1"/>
  <c r="X921" i="1"/>
  <c r="AQ921" i="1" s="1"/>
  <c r="S921" i="1"/>
  <c r="R921" i="1"/>
  <c r="AP921" i="1" s="1"/>
  <c r="T836" i="1"/>
  <c r="AB836" i="1"/>
  <c r="AU836" i="1" s="1"/>
  <c r="AA836" i="1"/>
  <c r="AB809" i="1"/>
  <c r="AU809" i="1" s="1"/>
  <c r="T809" i="1"/>
  <c r="AA809" i="1"/>
  <c r="AB723" i="1"/>
  <c r="AU723" i="1" s="1"/>
  <c r="AA723" i="1"/>
  <c r="T723" i="1"/>
  <c r="Q684" i="1"/>
  <c r="AO684" i="1" s="1"/>
  <c r="R684" i="1"/>
  <c r="AP684" i="1" s="1"/>
  <c r="X684" i="1"/>
  <c r="AQ684" i="1" s="1"/>
  <c r="S684" i="1"/>
  <c r="AB719" i="1"/>
  <c r="AU719" i="1" s="1"/>
  <c r="AA719" i="1"/>
  <c r="T719" i="1"/>
  <c r="S752" i="1"/>
  <c r="R752" i="1"/>
  <c r="AP752" i="1" s="1"/>
  <c r="X752" i="1"/>
  <c r="AQ752" i="1" s="1"/>
  <c r="Q752" i="1"/>
  <c r="AO752" i="1" s="1"/>
  <c r="T475" i="1"/>
  <c r="AB475" i="1"/>
  <c r="AU475" i="1" s="1"/>
  <c r="AA475" i="1"/>
  <c r="S527" i="1"/>
  <c r="R527" i="1"/>
  <c r="AP527" i="1" s="1"/>
  <c r="Q527" i="1"/>
  <c r="AO527" i="1" s="1"/>
  <c r="X527" i="1"/>
  <c r="AQ527" i="1" s="1"/>
  <c r="AA622" i="1"/>
  <c r="T622" i="1"/>
  <c r="AB622" i="1"/>
  <c r="AU622" i="1" s="1"/>
  <c r="S447" i="1"/>
  <c r="R447" i="1"/>
  <c r="AP447" i="1" s="1"/>
  <c r="Q447" i="1"/>
  <c r="AO447" i="1" s="1"/>
  <c r="X447" i="1"/>
  <c r="AQ447" i="1" s="1"/>
  <c r="Q373" i="1"/>
  <c r="AO373" i="1" s="1"/>
  <c r="X373" i="1"/>
  <c r="AQ373" i="1" s="1"/>
  <c r="S373" i="1"/>
  <c r="R373" i="1"/>
  <c r="AP373" i="1" s="1"/>
  <c r="AB462" i="1"/>
  <c r="AU462" i="1" s="1"/>
  <c r="T462" i="1"/>
  <c r="AA462" i="1"/>
  <c r="S515" i="1"/>
  <c r="R515" i="1"/>
  <c r="AP515" i="1" s="1"/>
  <c r="Q515" i="1"/>
  <c r="AO515" i="1" s="1"/>
  <c r="X515" i="1"/>
  <c r="AQ515" i="1" s="1"/>
  <c r="Q401" i="1"/>
  <c r="AO401" i="1" s="1"/>
  <c r="X401" i="1"/>
  <c r="AQ401" i="1" s="1"/>
  <c r="S401" i="1"/>
  <c r="R401" i="1"/>
  <c r="AP401" i="1" s="1"/>
  <c r="AQ332" i="1"/>
  <c r="AO435" i="1"/>
  <c r="X342" i="1"/>
  <c r="AQ342" i="1" s="1"/>
  <c r="S342" i="1"/>
  <c r="R342" i="1"/>
  <c r="AP342" i="1" s="1"/>
  <c r="Q342" i="1"/>
  <c r="AO342" i="1" s="1"/>
  <c r="S203" i="1"/>
  <c r="R203" i="1"/>
  <c r="AP203" i="1" s="1"/>
  <c r="Q203" i="1"/>
  <c r="AO203" i="1" s="1"/>
  <c r="X203" i="1"/>
  <c r="AQ203" i="1" s="1"/>
  <c r="S306" i="1"/>
  <c r="R306" i="1"/>
  <c r="AP306" i="1" s="1"/>
  <c r="Q306" i="1"/>
  <c r="AO306" i="1" s="1"/>
  <c r="X306" i="1"/>
  <c r="AQ306" i="1" s="1"/>
  <c r="S230" i="1"/>
  <c r="R230" i="1"/>
  <c r="AP230" i="1" s="1"/>
  <c r="Q230" i="1"/>
  <c r="AO230" i="1" s="1"/>
  <c r="X230" i="1"/>
  <c r="AQ230" i="1" s="1"/>
  <c r="AA142" i="1"/>
  <c r="T142" i="1"/>
  <c r="AB142" i="1"/>
  <c r="AU142" i="1" s="1"/>
  <c r="AP107" i="1"/>
  <c r="T47" i="1"/>
  <c r="AB47" i="1"/>
  <c r="AU47" i="1" s="1"/>
  <c r="AA47" i="1"/>
  <c r="Z932" i="1"/>
  <c r="Z938" i="1" s="1"/>
  <c r="AX930" i="1"/>
  <c r="AX36" i="1"/>
  <c r="AP56" i="1"/>
  <c r="AB32" i="1"/>
  <c r="AU32" i="1" s="1"/>
  <c r="T32" i="1"/>
  <c r="AA32" i="1"/>
  <c r="AO917" i="1"/>
  <c r="P819" i="1"/>
  <c r="V819" i="1"/>
  <c r="V861" i="1" s="1"/>
  <c r="V864" i="1" s="1"/>
  <c r="O861" i="1"/>
  <c r="O864" i="1" s="1"/>
  <c r="U819" i="1"/>
  <c r="U861" i="1" s="1"/>
  <c r="U864" i="1" s="1"/>
  <c r="Q851" i="1"/>
  <c r="AO851" i="1" s="1"/>
  <c r="R851" i="1"/>
  <c r="AP851" i="1" s="1"/>
  <c r="X851" i="1"/>
  <c r="AQ851" i="1" s="1"/>
  <c r="S851" i="1"/>
  <c r="S877" i="1"/>
  <c r="Q877" i="1"/>
  <c r="AO877" i="1" s="1"/>
  <c r="X877" i="1"/>
  <c r="AQ877" i="1" s="1"/>
  <c r="R877" i="1"/>
  <c r="AP877" i="1" s="1"/>
  <c r="R838" i="1"/>
  <c r="AP838" i="1" s="1"/>
  <c r="S838" i="1"/>
  <c r="Q838" i="1"/>
  <c r="AO838" i="1" s="1"/>
  <c r="X838" i="1"/>
  <c r="AQ838" i="1" s="1"/>
  <c r="R830" i="1"/>
  <c r="AP830" i="1" s="1"/>
  <c r="S830" i="1"/>
  <c r="Q830" i="1"/>
  <c r="AO830" i="1" s="1"/>
  <c r="X830" i="1"/>
  <c r="AQ830" i="1" s="1"/>
  <c r="S858" i="1"/>
  <c r="X858" i="1"/>
  <c r="AQ858" i="1" s="1"/>
  <c r="Q858" i="1"/>
  <c r="AO858" i="1" s="1"/>
  <c r="R858" i="1"/>
  <c r="AP858" i="1" s="1"/>
  <c r="T833" i="1"/>
  <c r="AA833" i="1"/>
  <c r="AB833" i="1"/>
  <c r="AU833" i="1" s="1"/>
  <c r="AB771" i="1"/>
  <c r="AU771" i="1" s="1"/>
  <c r="AA771" i="1"/>
  <c r="T771" i="1"/>
  <c r="X803" i="1"/>
  <c r="AQ803" i="1" s="1"/>
  <c r="R803" i="1"/>
  <c r="AP803" i="1" s="1"/>
  <c r="Q803" i="1"/>
  <c r="AO803" i="1" s="1"/>
  <c r="S803" i="1"/>
  <c r="S781" i="1"/>
  <c r="Q781" i="1"/>
  <c r="AO781" i="1" s="1"/>
  <c r="X781" i="1"/>
  <c r="AQ781" i="1" s="1"/>
  <c r="R781" i="1"/>
  <c r="AP781" i="1" s="1"/>
  <c r="T730" i="1"/>
  <c r="AB730" i="1"/>
  <c r="AU730" i="1" s="1"/>
  <c r="AA730" i="1"/>
  <c r="S767" i="1"/>
  <c r="Q767" i="1"/>
  <c r="AO767" i="1" s="1"/>
  <c r="X767" i="1"/>
  <c r="AQ767" i="1" s="1"/>
  <c r="R767" i="1"/>
  <c r="AP767" i="1" s="1"/>
  <c r="S744" i="1"/>
  <c r="R744" i="1"/>
  <c r="AP744" i="1" s="1"/>
  <c r="Q744" i="1"/>
  <c r="AO744" i="1" s="1"/>
  <c r="X744" i="1"/>
  <c r="AQ744" i="1" s="1"/>
  <c r="S749" i="1"/>
  <c r="Q749" i="1"/>
  <c r="AO749" i="1" s="1"/>
  <c r="R749" i="1"/>
  <c r="AP749" i="1" s="1"/>
  <c r="X749" i="1"/>
  <c r="AQ749" i="1" s="1"/>
  <c r="R785" i="1"/>
  <c r="AP785" i="1" s="1"/>
  <c r="S785" i="1"/>
  <c r="X785" i="1"/>
  <c r="AQ785" i="1" s="1"/>
  <c r="Q785" i="1"/>
  <c r="AO785" i="1" s="1"/>
  <c r="S729" i="1"/>
  <c r="X729" i="1"/>
  <c r="AQ729" i="1" s="1"/>
  <c r="R729" i="1"/>
  <c r="AP729" i="1" s="1"/>
  <c r="Q729" i="1"/>
  <c r="AO729" i="1" s="1"/>
  <c r="X710" i="1"/>
  <c r="AQ710" i="1" s="1"/>
  <c r="Q710" i="1"/>
  <c r="AO710" i="1" s="1"/>
  <c r="S710" i="1"/>
  <c r="R710" i="1"/>
  <c r="AP710" i="1" s="1"/>
  <c r="Q716" i="1"/>
  <c r="AO716" i="1" s="1"/>
  <c r="R716" i="1"/>
  <c r="AP716" i="1" s="1"/>
  <c r="X716" i="1"/>
  <c r="AQ716" i="1" s="1"/>
  <c r="S716" i="1"/>
  <c r="T697" i="1"/>
  <c r="AA697" i="1"/>
  <c r="AB697" i="1"/>
  <c r="AU697" i="1" s="1"/>
  <c r="X671" i="1"/>
  <c r="AQ671" i="1" s="1"/>
  <c r="S671" i="1"/>
  <c r="R671" i="1"/>
  <c r="AP671" i="1" s="1"/>
  <c r="Q671" i="1"/>
  <c r="AO671" i="1" s="1"/>
  <c r="AB770" i="1"/>
  <c r="AU770" i="1" s="1"/>
  <c r="AA770" i="1"/>
  <c r="T770" i="1"/>
  <c r="Q704" i="1"/>
  <c r="AO704" i="1" s="1"/>
  <c r="S704" i="1"/>
  <c r="X704" i="1"/>
  <c r="AQ704" i="1" s="1"/>
  <c r="R704" i="1"/>
  <c r="AP704" i="1" s="1"/>
  <c r="T592" i="1"/>
  <c r="AB592" i="1"/>
  <c r="AU592" i="1" s="1"/>
  <c r="AA592" i="1"/>
  <c r="AB692" i="1"/>
  <c r="AU692" i="1" s="1"/>
  <c r="T692" i="1"/>
  <c r="AA692" i="1"/>
  <c r="T680" i="1"/>
  <c r="AB680" i="1"/>
  <c r="AU680" i="1" s="1"/>
  <c r="AA680" i="1"/>
  <c r="AG629" i="1"/>
  <c r="AZ629" i="1" s="1"/>
  <c r="AT629" i="1"/>
  <c r="AA676" i="1"/>
  <c r="T628" i="1"/>
  <c r="AB628" i="1"/>
  <c r="AU628" i="1" s="1"/>
  <c r="AA628" i="1"/>
  <c r="AB557" i="1"/>
  <c r="AU557" i="1" s="1"/>
  <c r="AA557" i="1"/>
  <c r="T557" i="1"/>
  <c r="S506" i="1"/>
  <c r="R506" i="1"/>
  <c r="AP506" i="1" s="1"/>
  <c r="Q506" i="1"/>
  <c r="AO506" i="1" s="1"/>
  <c r="X506" i="1"/>
  <c r="AQ506" i="1" s="1"/>
  <c r="S563" i="1"/>
  <c r="R563" i="1"/>
  <c r="AP563" i="1" s="1"/>
  <c r="Q563" i="1"/>
  <c r="AO563" i="1" s="1"/>
  <c r="X563" i="1"/>
  <c r="AQ563" i="1" s="1"/>
  <c r="T546" i="1"/>
  <c r="AB546" i="1"/>
  <c r="AU546" i="1" s="1"/>
  <c r="AA546" i="1"/>
  <c r="T627" i="1"/>
  <c r="AB627" i="1"/>
  <c r="AU627" i="1" s="1"/>
  <c r="AA627" i="1"/>
  <c r="AG587" i="1"/>
  <c r="AZ587" i="1" s="1"/>
  <c r="AT587" i="1"/>
  <c r="AB508" i="1"/>
  <c r="AU508" i="1" s="1"/>
  <c r="AA508" i="1"/>
  <c r="T508" i="1"/>
  <c r="T538" i="1"/>
  <c r="AB538" i="1"/>
  <c r="AU538" i="1" s="1"/>
  <c r="AA538" i="1"/>
  <c r="Q573" i="1"/>
  <c r="AO573" i="1" s="1"/>
  <c r="X573" i="1"/>
  <c r="AQ573" i="1" s="1"/>
  <c r="S573" i="1"/>
  <c r="R573" i="1"/>
  <c r="AP573" i="1" s="1"/>
  <c r="AB463" i="1"/>
  <c r="AU463" i="1" s="1"/>
  <c r="AA463" i="1"/>
  <c r="T463" i="1"/>
  <c r="AB478" i="1"/>
  <c r="AU478" i="1" s="1"/>
  <c r="AA478" i="1"/>
  <c r="T478" i="1"/>
  <c r="X353" i="1"/>
  <c r="AQ353" i="1" s="1"/>
  <c r="S353" i="1"/>
  <c r="R353" i="1"/>
  <c r="AP353" i="1" s="1"/>
  <c r="Q353" i="1"/>
  <c r="AO353" i="1" s="1"/>
  <c r="R417" i="1"/>
  <c r="AP417" i="1" s="1"/>
  <c r="Q417" i="1"/>
  <c r="AO417" i="1" s="1"/>
  <c r="S417" i="1"/>
  <c r="X417" i="1"/>
  <c r="AQ417" i="1" s="1"/>
  <c r="S367" i="1"/>
  <c r="Q367" i="1"/>
  <c r="AO367" i="1" s="1"/>
  <c r="X367" i="1"/>
  <c r="AQ367" i="1" s="1"/>
  <c r="R367" i="1"/>
  <c r="AP367" i="1" s="1"/>
  <c r="P305" i="1"/>
  <c r="V305" i="1"/>
  <c r="V314" i="1" s="1"/>
  <c r="U305" i="1"/>
  <c r="U314" i="1" s="1"/>
  <c r="O314" i="1"/>
  <c r="AT431" i="1"/>
  <c r="AG431" i="1"/>
  <c r="AZ431" i="1" s="1"/>
  <c r="AA418" i="1"/>
  <c r="T418" i="1"/>
  <c r="AB418" i="1"/>
  <c r="AU418" i="1" s="1"/>
  <c r="U392" i="1"/>
  <c r="U396" i="1" s="1"/>
  <c r="O396" i="1"/>
  <c r="O423" i="1" s="1"/>
  <c r="V392" i="1"/>
  <c r="V396" i="1" s="1"/>
  <c r="P392" i="1"/>
  <c r="S581" i="1"/>
  <c r="R581" i="1"/>
  <c r="AP581" i="1" s="1"/>
  <c r="X581" i="1"/>
  <c r="AQ581" i="1" s="1"/>
  <c r="Q581" i="1"/>
  <c r="AO581" i="1" s="1"/>
  <c r="AB533" i="1"/>
  <c r="AU533" i="1" s="1"/>
  <c r="AA533" i="1"/>
  <c r="T533" i="1"/>
  <c r="AB366" i="1"/>
  <c r="AU366" i="1" s="1"/>
  <c r="AA366" i="1"/>
  <c r="T366" i="1"/>
  <c r="X460" i="1"/>
  <c r="AQ460" i="1" s="1"/>
  <c r="S460" i="1"/>
  <c r="R460" i="1"/>
  <c r="AP460" i="1" s="1"/>
  <c r="Q460" i="1"/>
  <c r="AO460" i="1" s="1"/>
  <c r="R379" i="1"/>
  <c r="AP379" i="1" s="1"/>
  <c r="Q379" i="1"/>
  <c r="AO379" i="1" s="1"/>
  <c r="S379" i="1"/>
  <c r="X379" i="1"/>
  <c r="AQ379" i="1" s="1"/>
  <c r="T313" i="1"/>
  <c r="AB313" i="1"/>
  <c r="AU313" i="1" s="1"/>
  <c r="AA313" i="1"/>
  <c r="AB249" i="1"/>
  <c r="AU249" i="1" s="1"/>
  <c r="AA249" i="1"/>
  <c r="T249" i="1"/>
  <c r="Q483" i="1"/>
  <c r="AO483" i="1" s="1"/>
  <c r="X483" i="1"/>
  <c r="AQ483" i="1" s="1"/>
  <c r="S483" i="1"/>
  <c r="R483" i="1"/>
  <c r="AP483" i="1" s="1"/>
  <c r="X381" i="1"/>
  <c r="AQ381" i="1" s="1"/>
  <c r="S381" i="1"/>
  <c r="R381" i="1"/>
  <c r="AP381" i="1" s="1"/>
  <c r="Q381" i="1"/>
  <c r="AO381" i="1" s="1"/>
  <c r="AO332" i="1"/>
  <c r="T344" i="1"/>
  <c r="AB344" i="1"/>
  <c r="AU344" i="1" s="1"/>
  <c r="AA344" i="1"/>
  <c r="T351" i="1"/>
  <c r="AB351" i="1"/>
  <c r="AU351" i="1" s="1"/>
  <c r="AA351" i="1"/>
  <c r="S289" i="1"/>
  <c r="R289" i="1"/>
  <c r="AP289" i="1" s="1"/>
  <c r="Q289" i="1"/>
  <c r="AO289" i="1" s="1"/>
  <c r="X289" i="1"/>
  <c r="AQ289" i="1" s="1"/>
  <c r="S539" i="1"/>
  <c r="R539" i="1"/>
  <c r="AP539" i="1" s="1"/>
  <c r="Q539" i="1"/>
  <c r="AO539" i="1" s="1"/>
  <c r="X539" i="1"/>
  <c r="AQ539" i="1" s="1"/>
  <c r="AO303" i="1"/>
  <c r="AG303" i="1"/>
  <c r="AZ303" i="1" s="1"/>
  <c r="T382" i="1"/>
  <c r="AB382" i="1"/>
  <c r="AU382" i="1" s="1"/>
  <c r="AA382" i="1"/>
  <c r="AT382" i="1" s="1"/>
  <c r="AP140" i="1"/>
  <c r="S234" i="1"/>
  <c r="R234" i="1"/>
  <c r="AP234" i="1" s="1"/>
  <c r="Q234" i="1"/>
  <c r="AO234" i="1" s="1"/>
  <c r="X234" i="1"/>
  <c r="AQ234" i="1" s="1"/>
  <c r="S334" i="1"/>
  <c r="R334" i="1"/>
  <c r="AP334" i="1" s="1"/>
  <c r="Q334" i="1"/>
  <c r="AO334" i="1" s="1"/>
  <c r="X334" i="1"/>
  <c r="AQ334" i="1" s="1"/>
  <c r="AG225" i="1"/>
  <c r="AZ225" i="1" s="1"/>
  <c r="S180" i="1"/>
  <c r="R180" i="1"/>
  <c r="AP180" i="1" s="1"/>
  <c r="Q180" i="1"/>
  <c r="AO180" i="1" s="1"/>
  <c r="X180" i="1"/>
  <c r="AQ180" i="1" s="1"/>
  <c r="AT155" i="1"/>
  <c r="AG155" i="1"/>
  <c r="AZ155" i="1" s="1"/>
  <c r="U133" i="1"/>
  <c r="X206" i="1"/>
  <c r="AQ206" i="1" s="1"/>
  <c r="S206" i="1"/>
  <c r="R206" i="1"/>
  <c r="AP206" i="1" s="1"/>
  <c r="Q206" i="1"/>
  <c r="AO206" i="1" s="1"/>
  <c r="Q393" i="1"/>
  <c r="AO393" i="1" s="1"/>
  <c r="X393" i="1"/>
  <c r="AQ393" i="1" s="1"/>
  <c r="S393" i="1"/>
  <c r="R393" i="1"/>
  <c r="AP393" i="1" s="1"/>
  <c r="S266" i="1"/>
  <c r="R266" i="1"/>
  <c r="AP266" i="1" s="1"/>
  <c r="Q266" i="1"/>
  <c r="AO266" i="1" s="1"/>
  <c r="X266" i="1"/>
  <c r="AQ266" i="1" s="1"/>
  <c r="T144" i="1"/>
  <c r="AA144" i="1"/>
  <c r="AB144" i="1"/>
  <c r="AU144" i="1" s="1"/>
  <c r="S309" i="1"/>
  <c r="R309" i="1"/>
  <c r="AP309" i="1" s="1"/>
  <c r="Q309" i="1"/>
  <c r="AO309" i="1" s="1"/>
  <c r="X309" i="1"/>
  <c r="AQ309" i="1" s="1"/>
  <c r="S101" i="1"/>
  <c r="R101" i="1"/>
  <c r="AP101" i="1" s="1"/>
  <c r="Q101" i="1"/>
  <c r="AO101" i="1" s="1"/>
  <c r="S146" i="1"/>
  <c r="R146" i="1"/>
  <c r="AP146" i="1" s="1"/>
  <c r="Q146" i="1"/>
  <c r="AO146" i="1" s="1"/>
  <c r="X146" i="1"/>
  <c r="AQ146" i="1" s="1"/>
  <c r="X116" i="1"/>
  <c r="AQ116" i="1" s="1"/>
  <c r="S116" i="1"/>
  <c r="R116" i="1"/>
  <c r="AP116" i="1" s="1"/>
  <c r="Q116" i="1"/>
  <c r="AO116" i="1" s="1"/>
  <c r="T33" i="1"/>
  <c r="AB33" i="1"/>
  <c r="AU33" i="1" s="1"/>
  <c r="AA33" i="1"/>
  <c r="AR193" i="1"/>
  <c r="X46" i="1"/>
  <c r="AQ46" i="1" s="1"/>
  <c r="S46" i="1"/>
  <c r="R46" i="1"/>
  <c r="AP46" i="1" s="1"/>
  <c r="Q46" i="1"/>
  <c r="AO46" i="1" s="1"/>
  <c r="T107" i="1"/>
  <c r="AB107" i="1"/>
  <c r="AA107" i="1"/>
  <c r="U106" i="1"/>
  <c r="X28" i="1"/>
  <c r="AQ28" i="1" s="1"/>
  <c r="S28" i="1"/>
  <c r="R28" i="1"/>
  <c r="AP28" i="1" s="1"/>
  <c r="Q28" i="1"/>
  <c r="AO28" i="1" s="1"/>
  <c r="Q167" i="1"/>
  <c r="AO167" i="1" s="1"/>
  <c r="X167" i="1"/>
  <c r="AQ167" i="1" s="1"/>
  <c r="S167" i="1"/>
  <c r="R167" i="1"/>
  <c r="AP167" i="1" s="1"/>
  <c r="AA81" i="1"/>
  <c r="T81" i="1"/>
  <c r="S808" i="1"/>
  <c r="Q808" i="1"/>
  <c r="AO808" i="1" s="1"/>
  <c r="R808" i="1"/>
  <c r="AP808" i="1" s="1"/>
  <c r="X808" i="1"/>
  <c r="AQ808" i="1" s="1"/>
  <c r="S672" i="1"/>
  <c r="R672" i="1"/>
  <c r="AP672" i="1" s="1"/>
  <c r="X672" i="1"/>
  <c r="AQ672" i="1" s="1"/>
  <c r="Q672" i="1"/>
  <c r="AO672" i="1" s="1"/>
  <c r="U398" i="1"/>
  <c r="U422" i="1" s="1"/>
  <c r="V398" i="1"/>
  <c r="V422" i="1" s="1"/>
  <c r="P398" i="1"/>
  <c r="AB275" i="1"/>
  <c r="AU275" i="1" s="1"/>
  <c r="T275" i="1"/>
  <c r="AA275" i="1"/>
  <c r="AQ372" i="1"/>
  <c r="P67" i="1"/>
  <c r="V67" i="1"/>
  <c r="V73" i="1" s="1"/>
  <c r="U67" i="1"/>
  <c r="U73" i="1" s="1"/>
  <c r="O73" i="1"/>
  <c r="T229" i="1"/>
  <c r="AA229" i="1"/>
  <c r="AB229" i="1"/>
  <c r="AU229" i="1" s="1"/>
  <c r="Q267" i="1"/>
  <c r="AO267" i="1" s="1"/>
  <c r="X267" i="1"/>
  <c r="AQ267" i="1" s="1"/>
  <c r="S267" i="1"/>
  <c r="R267" i="1"/>
  <c r="AP267" i="1" s="1"/>
  <c r="Q201" i="1"/>
  <c r="AO201" i="1" s="1"/>
  <c r="X201" i="1"/>
  <c r="AQ201" i="1" s="1"/>
  <c r="S201" i="1"/>
  <c r="R201" i="1"/>
  <c r="AP201" i="1" s="1"/>
  <c r="R143" i="1"/>
  <c r="AP143" i="1" s="1"/>
  <c r="X143" i="1"/>
  <c r="AQ143" i="1" s="1"/>
  <c r="S143" i="1"/>
  <c r="Q143" i="1"/>
  <c r="AO143" i="1" s="1"/>
  <c r="AV930" i="1"/>
  <c r="AV36" i="1"/>
  <c r="AY56" i="1"/>
  <c r="AB8" i="1"/>
  <c r="AU8" i="1" s="1"/>
  <c r="AA8" i="1"/>
  <c r="T8" i="1"/>
  <c r="T233" i="1"/>
  <c r="AB233" i="1"/>
  <c r="AU233" i="1" s="1"/>
  <c r="AA233" i="1"/>
  <c r="T875" i="1"/>
  <c r="AB875" i="1"/>
  <c r="AU875" i="1" s="1"/>
  <c r="AA875" i="1"/>
  <c r="T758" i="1"/>
  <c r="AB758" i="1"/>
  <c r="AU758" i="1" s="1"/>
  <c r="AA758" i="1"/>
  <c r="S740" i="1"/>
  <c r="R740" i="1"/>
  <c r="AP740" i="1" s="1"/>
  <c r="Q740" i="1"/>
  <c r="AO740" i="1" s="1"/>
  <c r="X740" i="1"/>
  <c r="AQ740" i="1" s="1"/>
  <c r="R670" i="1"/>
  <c r="AP670" i="1" s="1"/>
  <c r="X670" i="1"/>
  <c r="AQ670" i="1" s="1"/>
  <c r="Q670" i="1"/>
  <c r="AO670" i="1" s="1"/>
  <c r="S670" i="1"/>
  <c r="AB649" i="1"/>
  <c r="AU649" i="1" s="1"/>
  <c r="AA649" i="1"/>
  <c r="T649" i="1"/>
  <c r="S548" i="1"/>
  <c r="R548" i="1"/>
  <c r="AP548" i="1" s="1"/>
  <c r="Q548" i="1"/>
  <c r="AO548" i="1" s="1"/>
  <c r="X548" i="1"/>
  <c r="AQ548" i="1" s="1"/>
  <c r="T519" i="1"/>
  <c r="AB519" i="1"/>
  <c r="AU519" i="1" s="1"/>
  <c r="AA519" i="1"/>
  <c r="S571" i="1"/>
  <c r="R571" i="1"/>
  <c r="AP571" i="1" s="1"/>
  <c r="Q571" i="1"/>
  <c r="AO571" i="1" s="1"/>
  <c r="X571" i="1"/>
  <c r="AQ571" i="1" s="1"/>
  <c r="T310" i="1"/>
  <c r="AB310" i="1"/>
  <c r="AU310" i="1" s="1"/>
  <c r="AA310" i="1"/>
  <c r="AB173" i="1"/>
  <c r="AU173" i="1" s="1"/>
  <c r="AA173" i="1"/>
  <c r="T173" i="1"/>
  <c r="AB177" i="1"/>
  <c r="AU177" i="1" s="1"/>
  <c r="AA177" i="1"/>
  <c r="T177" i="1"/>
  <c r="R48" i="1"/>
  <c r="AP48" i="1" s="1"/>
  <c r="Q48" i="1"/>
  <c r="AO48" i="1" s="1"/>
  <c r="X48" i="1"/>
  <c r="AQ48" i="1" s="1"/>
  <c r="S48" i="1"/>
  <c r="R113" i="1"/>
  <c r="AP113" i="1" s="1"/>
  <c r="Q113" i="1"/>
  <c r="AO113" i="1" s="1"/>
  <c r="X113" i="1"/>
  <c r="AQ113" i="1" s="1"/>
  <c r="S113" i="1"/>
  <c r="AF82" i="1"/>
  <c r="AF83" i="1" s="1"/>
  <c r="AY81" i="1"/>
  <c r="AY82" i="1" s="1"/>
  <c r="AY83" i="1" s="1"/>
  <c r="R895" i="1"/>
  <c r="X895" i="1"/>
  <c r="P898" i="1"/>
  <c r="Q895" i="1"/>
  <c r="S895" i="1"/>
  <c r="S839" i="1"/>
  <c r="R839" i="1"/>
  <c r="AP839" i="1" s="1"/>
  <c r="X839" i="1"/>
  <c r="AQ839" i="1" s="1"/>
  <c r="Q839" i="1"/>
  <c r="AO839" i="1" s="1"/>
  <c r="X849" i="1"/>
  <c r="AQ849" i="1" s="1"/>
  <c r="Q849" i="1"/>
  <c r="AO849" i="1" s="1"/>
  <c r="S849" i="1"/>
  <c r="R849" i="1"/>
  <c r="AP849" i="1" s="1"/>
  <c r="AA793" i="1"/>
  <c r="AB793" i="1"/>
  <c r="AU793" i="1" s="1"/>
  <c r="T793" i="1"/>
  <c r="P870" i="1"/>
  <c r="V870" i="1"/>
  <c r="V887" i="1" s="1"/>
  <c r="V888" i="1" s="1"/>
  <c r="O887" i="1"/>
  <c r="O888" i="1" s="1"/>
  <c r="U870" i="1"/>
  <c r="U887" i="1" s="1"/>
  <c r="U888" i="1" s="1"/>
  <c r="AA797" i="1"/>
  <c r="R842" i="1"/>
  <c r="AP842" i="1" s="1"/>
  <c r="Q842" i="1"/>
  <c r="AO842" i="1" s="1"/>
  <c r="S842" i="1"/>
  <c r="X842" i="1"/>
  <c r="AQ842" i="1" s="1"/>
  <c r="T841" i="1"/>
  <c r="AB841" i="1"/>
  <c r="AU841" i="1" s="1"/>
  <c r="AA841" i="1"/>
  <c r="AA821" i="1"/>
  <c r="AB821" i="1"/>
  <c r="AU821" i="1" s="1"/>
  <c r="T821" i="1"/>
  <c r="AB789" i="1"/>
  <c r="AU789" i="1" s="1"/>
  <c r="T789" i="1"/>
  <c r="AA789" i="1"/>
  <c r="AB792" i="1"/>
  <c r="AU792" i="1" s="1"/>
  <c r="T792" i="1"/>
  <c r="AA792" i="1"/>
  <c r="R829" i="1"/>
  <c r="AP829" i="1" s="1"/>
  <c r="X829" i="1"/>
  <c r="AQ829" i="1" s="1"/>
  <c r="S829" i="1"/>
  <c r="Q829" i="1"/>
  <c r="AO829" i="1" s="1"/>
  <c r="AG782" i="1"/>
  <c r="AZ782" i="1" s="1"/>
  <c r="S725" i="1"/>
  <c r="X725" i="1"/>
  <c r="AQ725" i="1" s="1"/>
  <c r="R725" i="1"/>
  <c r="AP725" i="1" s="1"/>
  <c r="Q725" i="1"/>
  <c r="AO725" i="1" s="1"/>
  <c r="S825" i="1"/>
  <c r="X825" i="1"/>
  <c r="AQ825" i="1" s="1"/>
  <c r="Q825" i="1"/>
  <c r="AO825" i="1" s="1"/>
  <c r="R825" i="1"/>
  <c r="AP825" i="1" s="1"/>
  <c r="T755" i="1"/>
  <c r="AB755" i="1"/>
  <c r="AU755" i="1" s="1"/>
  <c r="AA755" i="1"/>
  <c r="S745" i="1"/>
  <c r="Q745" i="1"/>
  <c r="AO745" i="1" s="1"/>
  <c r="R745" i="1"/>
  <c r="AP745" i="1" s="1"/>
  <c r="X745" i="1"/>
  <c r="AQ745" i="1" s="1"/>
  <c r="AG735" i="1"/>
  <c r="AZ735" i="1" s="1"/>
  <c r="T727" i="1"/>
  <c r="AB727" i="1"/>
  <c r="AU727" i="1" s="1"/>
  <c r="AA727" i="1"/>
  <c r="S760" i="1"/>
  <c r="R760" i="1"/>
  <c r="AP760" i="1" s="1"/>
  <c r="X760" i="1"/>
  <c r="AQ760" i="1" s="1"/>
  <c r="Q760" i="1"/>
  <c r="AO760" i="1" s="1"/>
  <c r="S737" i="1"/>
  <c r="Q737" i="1"/>
  <c r="AO737" i="1" s="1"/>
  <c r="R737" i="1"/>
  <c r="AP737" i="1" s="1"/>
  <c r="X737" i="1"/>
  <c r="AQ737" i="1" s="1"/>
  <c r="Q776" i="1"/>
  <c r="AO776" i="1" s="1"/>
  <c r="X776" i="1"/>
  <c r="AQ776" i="1" s="1"/>
  <c r="S776" i="1"/>
  <c r="R776" i="1"/>
  <c r="AP776" i="1" s="1"/>
  <c r="AA687" i="1"/>
  <c r="AB687" i="1"/>
  <c r="AU687" i="1" s="1"/>
  <c r="T687" i="1"/>
  <c r="X765" i="1"/>
  <c r="AQ765" i="1" s="1"/>
  <c r="S765" i="1"/>
  <c r="Q765" i="1"/>
  <c r="AO765" i="1" s="1"/>
  <c r="R765" i="1"/>
  <c r="AP765" i="1" s="1"/>
  <c r="T691" i="1"/>
  <c r="AB691" i="1"/>
  <c r="AU691" i="1" s="1"/>
  <c r="T702" i="1"/>
  <c r="AB702" i="1"/>
  <c r="AU702" i="1" s="1"/>
  <c r="AA702" i="1"/>
  <c r="T689" i="1"/>
  <c r="AB689" i="1"/>
  <c r="AU689" i="1" s="1"/>
  <c r="AA689" i="1"/>
  <c r="Q677" i="1"/>
  <c r="AO677" i="1" s="1"/>
  <c r="R677" i="1"/>
  <c r="AP677" i="1" s="1"/>
  <c r="X677" i="1"/>
  <c r="AQ677" i="1" s="1"/>
  <c r="S677" i="1"/>
  <c r="R698" i="1"/>
  <c r="AP698" i="1" s="1"/>
  <c r="Q698" i="1"/>
  <c r="AO698" i="1" s="1"/>
  <c r="X698" i="1"/>
  <c r="AQ698" i="1" s="1"/>
  <c r="S698" i="1"/>
  <c r="R694" i="1"/>
  <c r="AP694" i="1" s="1"/>
  <c r="Q694" i="1"/>
  <c r="AO694" i="1" s="1"/>
  <c r="X694" i="1"/>
  <c r="AQ694" i="1" s="1"/>
  <c r="S694" i="1"/>
  <c r="AA714" i="1"/>
  <c r="T714" i="1"/>
  <c r="AB714" i="1"/>
  <c r="AU714" i="1" s="1"/>
  <c r="T590" i="1"/>
  <c r="AB590" i="1"/>
  <c r="AU590" i="1" s="1"/>
  <c r="AA590" i="1"/>
  <c r="S591" i="1"/>
  <c r="R591" i="1"/>
  <c r="AP591" i="1" s="1"/>
  <c r="Q591" i="1"/>
  <c r="AO591" i="1" s="1"/>
  <c r="X591" i="1"/>
  <c r="AQ591" i="1" s="1"/>
  <c r="X642" i="1"/>
  <c r="AQ642" i="1" s="1"/>
  <c r="S642" i="1"/>
  <c r="R642" i="1"/>
  <c r="AP642" i="1" s="1"/>
  <c r="Q642" i="1"/>
  <c r="AO642" i="1" s="1"/>
  <c r="T603" i="1"/>
  <c r="AB603" i="1"/>
  <c r="AU603" i="1" s="1"/>
  <c r="AA603" i="1"/>
  <c r="S543" i="1"/>
  <c r="R543" i="1"/>
  <c r="AP543" i="1" s="1"/>
  <c r="Q543" i="1"/>
  <c r="AO543" i="1" s="1"/>
  <c r="X543" i="1"/>
  <c r="AQ543" i="1" s="1"/>
  <c r="X493" i="1"/>
  <c r="AQ493" i="1" s="1"/>
  <c r="S493" i="1"/>
  <c r="R493" i="1"/>
  <c r="AP493" i="1" s="1"/>
  <c r="Q493" i="1"/>
  <c r="AO493" i="1" s="1"/>
  <c r="AT529" i="1"/>
  <c r="AG529" i="1"/>
  <c r="AZ529" i="1" s="1"/>
  <c r="AG582" i="1"/>
  <c r="AZ582" i="1" s="1"/>
  <c r="X517" i="1"/>
  <c r="AQ517" i="1" s="1"/>
  <c r="S517" i="1"/>
  <c r="R517" i="1"/>
  <c r="AP517" i="1" s="1"/>
  <c r="Q517" i="1"/>
  <c r="AO517" i="1" s="1"/>
  <c r="S568" i="1"/>
  <c r="R568" i="1"/>
  <c r="AP568" i="1" s="1"/>
  <c r="Q568" i="1"/>
  <c r="AO568" i="1" s="1"/>
  <c r="X568" i="1"/>
  <c r="AQ568" i="1" s="1"/>
  <c r="S502" i="1"/>
  <c r="R502" i="1"/>
  <c r="AP502" i="1" s="1"/>
  <c r="Q502" i="1"/>
  <c r="AO502" i="1" s="1"/>
  <c r="X502" i="1"/>
  <c r="AQ502" i="1" s="1"/>
  <c r="AB476" i="1"/>
  <c r="AU476" i="1" s="1"/>
  <c r="AA476" i="1"/>
  <c r="T476" i="1"/>
  <c r="T461" i="1"/>
  <c r="AB461" i="1"/>
  <c r="AU461" i="1" s="1"/>
  <c r="AA461" i="1"/>
  <c r="X446" i="1"/>
  <c r="AQ446" i="1" s="1"/>
  <c r="S446" i="1"/>
  <c r="Q446" i="1"/>
  <c r="AO446" i="1" s="1"/>
  <c r="R446" i="1"/>
  <c r="AP446" i="1" s="1"/>
  <c r="R437" i="1"/>
  <c r="AP437" i="1" s="1"/>
  <c r="Q437" i="1"/>
  <c r="AO437" i="1" s="1"/>
  <c r="X437" i="1"/>
  <c r="AQ437" i="1" s="1"/>
  <c r="S437" i="1"/>
  <c r="S576" i="1"/>
  <c r="R576" i="1"/>
  <c r="AP576" i="1" s="1"/>
  <c r="Q576" i="1"/>
  <c r="AO576" i="1" s="1"/>
  <c r="X576" i="1"/>
  <c r="AQ576" i="1" s="1"/>
  <c r="S531" i="1"/>
  <c r="R531" i="1"/>
  <c r="AP531" i="1" s="1"/>
  <c r="Q531" i="1"/>
  <c r="AO531" i="1" s="1"/>
  <c r="X531" i="1"/>
  <c r="AQ531" i="1" s="1"/>
  <c r="X481" i="1"/>
  <c r="AQ481" i="1" s="1"/>
  <c r="S481" i="1"/>
  <c r="R481" i="1"/>
  <c r="AP481" i="1" s="1"/>
  <c r="Q481" i="1"/>
  <c r="AO481" i="1" s="1"/>
  <c r="X521" i="1"/>
  <c r="AQ521" i="1" s="1"/>
  <c r="S521" i="1"/>
  <c r="R521" i="1"/>
  <c r="AP521" i="1" s="1"/>
  <c r="Q521" i="1"/>
  <c r="AO521" i="1" s="1"/>
  <c r="S416" i="1"/>
  <c r="R416" i="1"/>
  <c r="AP416" i="1" s="1"/>
  <c r="Q416" i="1"/>
  <c r="AO416" i="1" s="1"/>
  <c r="X416" i="1"/>
  <c r="AQ416" i="1" s="1"/>
  <c r="T491" i="1"/>
  <c r="AB491" i="1"/>
  <c r="AU491" i="1" s="1"/>
  <c r="AA491" i="1"/>
  <c r="Q454" i="1"/>
  <c r="AO454" i="1" s="1"/>
  <c r="S454" i="1"/>
  <c r="R454" i="1"/>
  <c r="AP454" i="1" s="1"/>
  <c r="X454" i="1"/>
  <c r="AQ454" i="1" s="1"/>
  <c r="AA459" i="1"/>
  <c r="T459" i="1"/>
  <c r="AB459" i="1"/>
  <c r="AU459" i="1" s="1"/>
  <c r="T436" i="1"/>
  <c r="AB436" i="1"/>
  <c r="AU436" i="1" s="1"/>
  <c r="AA436" i="1"/>
  <c r="X415" i="1"/>
  <c r="AQ415" i="1" s="1"/>
  <c r="S415" i="1"/>
  <c r="R415" i="1"/>
  <c r="AP415" i="1" s="1"/>
  <c r="Q415" i="1"/>
  <c r="AO415" i="1" s="1"/>
  <c r="AB403" i="1"/>
  <c r="AU403" i="1" s="1"/>
  <c r="AA403" i="1"/>
  <c r="T403" i="1"/>
  <c r="AP332" i="1"/>
  <c r="AB450" i="1"/>
  <c r="AU450" i="1" s="1"/>
  <c r="T450" i="1"/>
  <c r="AA450" i="1"/>
  <c r="S559" i="1"/>
  <c r="R559" i="1"/>
  <c r="AP559" i="1" s="1"/>
  <c r="Q559" i="1"/>
  <c r="AO559" i="1" s="1"/>
  <c r="X559" i="1"/>
  <c r="AQ559" i="1" s="1"/>
  <c r="T435" i="1"/>
  <c r="AB435" i="1"/>
  <c r="AA435" i="1"/>
  <c r="AP300" i="1"/>
  <c r="X308" i="1"/>
  <c r="AQ308" i="1" s="1"/>
  <c r="S308" i="1"/>
  <c r="R308" i="1"/>
  <c r="AP308" i="1" s="1"/>
  <c r="Q308" i="1"/>
  <c r="AO308" i="1" s="1"/>
  <c r="S448" i="1"/>
  <c r="R448" i="1"/>
  <c r="AP448" i="1" s="1"/>
  <c r="Q448" i="1"/>
  <c r="AO448" i="1" s="1"/>
  <c r="X448" i="1"/>
  <c r="AQ448" i="1" s="1"/>
  <c r="AB370" i="1"/>
  <c r="AU370" i="1" s="1"/>
  <c r="AA370" i="1"/>
  <c r="T370" i="1"/>
  <c r="U301" i="1"/>
  <c r="U304" i="1" s="1"/>
  <c r="U315" i="1" s="1"/>
  <c r="O304" i="1"/>
  <c r="P301" i="1"/>
  <c r="V301" i="1"/>
  <c r="S181" i="1"/>
  <c r="R181" i="1"/>
  <c r="AP181" i="1" s="1"/>
  <c r="Q181" i="1"/>
  <c r="AO181" i="1" s="1"/>
  <c r="X181" i="1"/>
  <c r="AQ181" i="1" s="1"/>
  <c r="U199" i="1"/>
  <c r="U207" i="1" s="1"/>
  <c r="U208" i="1" s="1"/>
  <c r="O207" i="1"/>
  <c r="O208" i="1" s="1"/>
  <c r="P199" i="1"/>
  <c r="V199" i="1"/>
  <c r="V207" i="1" s="1"/>
  <c r="V208" i="1" s="1"/>
  <c r="AT170" i="1"/>
  <c r="AG170" i="1"/>
  <c r="AZ170" i="1" s="1"/>
  <c r="T337" i="1"/>
  <c r="AB337" i="1"/>
  <c r="AU337" i="1" s="1"/>
  <c r="AA337" i="1"/>
  <c r="S244" i="1"/>
  <c r="Q244" i="1"/>
  <c r="AO244" i="1" s="1"/>
  <c r="R244" i="1"/>
  <c r="AP244" i="1" s="1"/>
  <c r="X244" i="1"/>
  <c r="AQ244" i="1" s="1"/>
  <c r="S239" i="1"/>
  <c r="R239" i="1"/>
  <c r="AP239" i="1" s="1"/>
  <c r="Q239" i="1"/>
  <c r="AO239" i="1" s="1"/>
  <c r="X239" i="1"/>
  <c r="AQ239" i="1" s="1"/>
  <c r="V66" i="1"/>
  <c r="S374" i="1"/>
  <c r="R374" i="1"/>
  <c r="AP374" i="1" s="1"/>
  <c r="X374" i="1"/>
  <c r="AQ374" i="1" s="1"/>
  <c r="Q374" i="1"/>
  <c r="AO374" i="1" s="1"/>
  <c r="S184" i="1"/>
  <c r="X184" i="1"/>
  <c r="AQ184" i="1" s="1"/>
  <c r="R184" i="1"/>
  <c r="AP184" i="1" s="1"/>
  <c r="Q184" i="1"/>
  <c r="AO184" i="1" s="1"/>
  <c r="S274" i="1"/>
  <c r="X274" i="1"/>
  <c r="AQ274" i="1" s="1"/>
  <c r="R274" i="1"/>
  <c r="AP274" i="1" s="1"/>
  <c r="Q274" i="1"/>
  <c r="AO274" i="1" s="1"/>
  <c r="T186" i="1"/>
  <c r="AB186" i="1"/>
  <c r="AU186" i="1" s="1"/>
  <c r="AA186" i="1"/>
  <c r="U157" i="1"/>
  <c r="Q178" i="1"/>
  <c r="AO178" i="1" s="1"/>
  <c r="X178" i="1"/>
  <c r="AQ178" i="1" s="1"/>
  <c r="S178" i="1"/>
  <c r="R178" i="1"/>
  <c r="AP178" i="1" s="1"/>
  <c r="X172" i="1"/>
  <c r="AQ172" i="1" s="1"/>
  <c r="S172" i="1"/>
  <c r="R172" i="1"/>
  <c r="AP172" i="1" s="1"/>
  <c r="Q172" i="1"/>
  <c r="AO172" i="1" s="1"/>
  <c r="T95" i="1"/>
  <c r="AB95" i="1"/>
  <c r="AU95" i="1" s="1"/>
  <c r="AA95" i="1"/>
  <c r="S45" i="1"/>
  <c r="R45" i="1"/>
  <c r="Q45" i="1"/>
  <c r="P49" i="1"/>
  <c r="X45" i="1"/>
  <c r="AB169" i="1"/>
  <c r="AU169" i="1" s="1"/>
  <c r="AA169" i="1"/>
  <c r="T169" i="1"/>
  <c r="AB92" i="1"/>
  <c r="AU92" i="1" s="1"/>
  <c r="AA92" i="1"/>
  <c r="T92" i="1"/>
  <c r="V433" i="1"/>
  <c r="T125" i="1"/>
  <c r="AB125" i="1"/>
  <c r="AU125" i="1" s="1"/>
  <c r="AA125" i="1"/>
  <c r="AA59" i="1"/>
  <c r="T59" i="1"/>
  <c r="AT16" i="1"/>
  <c r="AG16" i="1"/>
  <c r="AZ16" i="1" s="1"/>
  <c r="S338" i="1"/>
  <c r="S91" i="1"/>
  <c r="R91" i="1"/>
  <c r="AP91" i="1" s="1"/>
  <c r="Q91" i="1"/>
  <c r="AO91" i="1" s="1"/>
  <c r="X91" i="1"/>
  <c r="AQ91" i="1" s="1"/>
  <c r="S131" i="1"/>
  <c r="R131" i="1"/>
  <c r="AP131" i="1" s="1"/>
  <c r="Q131" i="1"/>
  <c r="AO131" i="1" s="1"/>
  <c r="X131" i="1"/>
  <c r="AQ131" i="1" s="1"/>
  <c r="AB102" i="1"/>
  <c r="AU102" i="1" s="1"/>
  <c r="AA102" i="1"/>
  <c r="T102" i="1"/>
  <c r="AA13" i="1"/>
  <c r="AB13" i="1"/>
  <c r="AU13" i="1" s="1"/>
  <c r="T13" i="1"/>
  <c r="R115" i="1"/>
  <c r="AP115" i="1" s="1"/>
  <c r="Q115" i="1"/>
  <c r="AO115" i="1" s="1"/>
  <c r="X115" i="1"/>
  <c r="AQ115" i="1" s="1"/>
  <c r="S115" i="1"/>
  <c r="R70" i="1"/>
  <c r="AP70" i="1" s="1"/>
  <c r="Q70" i="1"/>
  <c r="AO70" i="1" s="1"/>
  <c r="X70" i="1"/>
  <c r="AQ70" i="1" s="1"/>
  <c r="S70" i="1"/>
  <c r="Q246" i="1"/>
  <c r="AO246" i="1" s="1"/>
  <c r="X246" i="1"/>
  <c r="AQ246" i="1" s="1"/>
  <c r="S246" i="1"/>
  <c r="R246" i="1"/>
  <c r="AP246" i="1" s="1"/>
  <c r="X128" i="1"/>
  <c r="AQ128" i="1" s="1"/>
  <c r="S128" i="1"/>
  <c r="R128" i="1"/>
  <c r="AP128" i="1" s="1"/>
  <c r="Q128" i="1"/>
  <c r="AO128" i="1" s="1"/>
  <c r="P133" i="1"/>
  <c r="V106" i="1"/>
  <c r="AT236" i="1"/>
  <c r="AG236" i="1"/>
  <c r="AZ236" i="1" s="1"/>
  <c r="S21" i="1"/>
  <c r="R21" i="1"/>
  <c r="AP21" i="1" s="1"/>
  <c r="X21" i="1"/>
  <c r="AQ21" i="1" s="1"/>
  <c r="Q21" i="1"/>
  <c r="AO21" i="1" s="1"/>
  <c r="X188" i="1"/>
  <c r="AQ188" i="1" s="1"/>
  <c r="S188" i="1"/>
  <c r="R188" i="1"/>
  <c r="AP188" i="1" s="1"/>
  <c r="Q188" i="1"/>
  <c r="AO188" i="1" s="1"/>
  <c r="AB154" i="1"/>
  <c r="AU154" i="1" s="1"/>
  <c r="AA154" i="1"/>
  <c r="T154" i="1"/>
  <c r="T112" i="1"/>
  <c r="AB112" i="1"/>
  <c r="AU112" i="1" s="1"/>
  <c r="AA112" i="1"/>
  <c r="V133" i="1"/>
  <c r="R22" i="1"/>
  <c r="AP22" i="1" s="1"/>
  <c r="Q22" i="1"/>
  <c r="AO22" i="1" s="1"/>
  <c r="X22" i="1"/>
  <c r="AQ22" i="1" s="1"/>
  <c r="S22" i="1"/>
  <c r="R828" i="1"/>
  <c r="AP828" i="1" s="1"/>
  <c r="X828" i="1"/>
  <c r="AQ828" i="1" s="1"/>
  <c r="Q828" i="1"/>
  <c r="AO828" i="1" s="1"/>
  <c r="S828" i="1"/>
  <c r="S881" i="1"/>
  <c r="Q881" i="1"/>
  <c r="AO881" i="1" s="1"/>
  <c r="R881" i="1"/>
  <c r="AP881" i="1" s="1"/>
  <c r="X881" i="1"/>
  <c r="AQ881" i="1" s="1"/>
  <c r="R763" i="1"/>
  <c r="AP763" i="1" s="1"/>
  <c r="X763" i="1"/>
  <c r="AQ763" i="1" s="1"/>
  <c r="Q763" i="1"/>
  <c r="AO763" i="1" s="1"/>
  <c r="S763" i="1"/>
  <c r="R732" i="1"/>
  <c r="AP732" i="1" s="1"/>
  <c r="Q732" i="1"/>
  <c r="AO732" i="1" s="1"/>
  <c r="X732" i="1"/>
  <c r="AQ732" i="1" s="1"/>
  <c r="S732" i="1"/>
  <c r="X693" i="1"/>
  <c r="AQ693" i="1" s="1"/>
  <c r="S693" i="1"/>
  <c r="R693" i="1"/>
  <c r="AP693" i="1" s="1"/>
  <c r="Q693" i="1"/>
  <c r="AO693" i="1" s="1"/>
  <c r="T598" i="1"/>
  <c r="AB598" i="1"/>
  <c r="AU598" i="1" s="1"/>
  <c r="AA598" i="1"/>
  <c r="Q565" i="1"/>
  <c r="AO565" i="1" s="1"/>
  <c r="X565" i="1"/>
  <c r="AQ565" i="1" s="1"/>
  <c r="S565" i="1"/>
  <c r="R565" i="1"/>
  <c r="AP565" i="1" s="1"/>
  <c r="S486" i="1"/>
  <c r="R486" i="1"/>
  <c r="AP486" i="1" s="1"/>
  <c r="Q486" i="1"/>
  <c r="AO486" i="1" s="1"/>
  <c r="X486" i="1"/>
  <c r="AQ486" i="1" s="1"/>
  <c r="AT525" i="1"/>
  <c r="AG525" i="1"/>
  <c r="AZ525" i="1" s="1"/>
  <c r="S204" i="1"/>
  <c r="R204" i="1"/>
  <c r="AP204" i="1" s="1"/>
  <c r="Q204" i="1"/>
  <c r="AO204" i="1" s="1"/>
  <c r="X204" i="1"/>
  <c r="AQ204" i="1" s="1"/>
  <c r="X882" i="1"/>
  <c r="AQ882" i="1" s="1"/>
  <c r="R882" i="1"/>
  <c r="AP882" i="1" s="1"/>
  <c r="Q882" i="1"/>
  <c r="AO882" i="1" s="1"/>
  <c r="S882" i="1"/>
  <c r="AB822" i="1"/>
  <c r="AU822" i="1" s="1"/>
  <c r="AA822" i="1"/>
  <c r="T822" i="1"/>
  <c r="X790" i="1"/>
  <c r="AQ790" i="1" s="1"/>
  <c r="R790" i="1"/>
  <c r="AP790" i="1" s="1"/>
  <c r="Q790" i="1"/>
  <c r="AO790" i="1" s="1"/>
  <c r="S790" i="1"/>
  <c r="S718" i="1"/>
  <c r="Q718" i="1"/>
  <c r="AO718" i="1" s="1"/>
  <c r="X718" i="1"/>
  <c r="AQ718" i="1" s="1"/>
  <c r="R718" i="1"/>
  <c r="AP718" i="1" s="1"/>
  <c r="AA646" i="1"/>
  <c r="T646" i="1"/>
  <c r="AB646" i="1"/>
  <c r="AU646" i="1" s="1"/>
  <c r="S580" i="1"/>
  <c r="R580" i="1"/>
  <c r="AP580" i="1" s="1"/>
  <c r="Q580" i="1"/>
  <c r="AO580" i="1" s="1"/>
  <c r="X580" i="1"/>
  <c r="AQ580" i="1" s="1"/>
  <c r="S588" i="1"/>
  <c r="X588" i="1"/>
  <c r="AQ588" i="1" s="1"/>
  <c r="R588" i="1"/>
  <c r="AP588" i="1" s="1"/>
  <c r="Q588" i="1"/>
  <c r="AO588" i="1" s="1"/>
  <c r="X485" i="1"/>
  <c r="AQ485" i="1" s="1"/>
  <c r="S485" i="1"/>
  <c r="R485" i="1"/>
  <c r="AP485" i="1" s="1"/>
  <c r="Q485" i="1"/>
  <c r="AO485" i="1" s="1"/>
  <c r="S456" i="1"/>
  <c r="R456" i="1"/>
  <c r="AP456" i="1" s="1"/>
  <c r="Q456" i="1"/>
  <c r="AO456" i="1" s="1"/>
  <c r="X456" i="1"/>
  <c r="AQ456" i="1" s="1"/>
  <c r="P385" i="1"/>
  <c r="AA251" i="1"/>
  <c r="T251" i="1"/>
  <c r="AB251" i="1"/>
  <c r="AU251" i="1" s="1"/>
  <c r="S153" i="1"/>
  <c r="R153" i="1"/>
  <c r="AP153" i="1" s="1"/>
  <c r="Q153" i="1"/>
  <c r="AO153" i="1" s="1"/>
  <c r="X153" i="1"/>
  <c r="AQ153" i="1" s="1"/>
  <c r="AB11" i="1"/>
  <c r="AU11" i="1" s="1"/>
  <c r="T11" i="1"/>
  <c r="AA11" i="1"/>
  <c r="V36" i="1"/>
  <c r="AP917" i="1"/>
  <c r="AA901" i="1"/>
  <c r="T901" i="1"/>
  <c r="AB901" i="1"/>
  <c r="AU901" i="1" s="1"/>
  <c r="T883" i="1"/>
  <c r="AB883" i="1"/>
  <c r="AU883" i="1" s="1"/>
  <c r="AA883" i="1"/>
  <c r="R804" i="1"/>
  <c r="AP804" i="1" s="1"/>
  <c r="Q804" i="1"/>
  <c r="AO804" i="1" s="1"/>
  <c r="X804" i="1"/>
  <c r="AQ804" i="1" s="1"/>
  <c r="S804" i="1"/>
  <c r="U904" i="1"/>
  <c r="U905" i="1" s="1"/>
  <c r="T876" i="1"/>
  <c r="AB876" i="1"/>
  <c r="AU876" i="1" s="1"/>
  <c r="AA876" i="1"/>
  <c r="Q853" i="1"/>
  <c r="AO853" i="1" s="1"/>
  <c r="X853" i="1"/>
  <c r="AQ853" i="1" s="1"/>
  <c r="R853" i="1"/>
  <c r="AP853" i="1" s="1"/>
  <c r="S853" i="1"/>
  <c r="Q786" i="1"/>
  <c r="AO786" i="1" s="1"/>
  <c r="X786" i="1"/>
  <c r="AQ786" i="1" s="1"/>
  <c r="R786" i="1"/>
  <c r="AP786" i="1" s="1"/>
  <c r="S786" i="1"/>
  <c r="S846" i="1"/>
  <c r="R846" i="1"/>
  <c r="AP846" i="1" s="1"/>
  <c r="Q846" i="1"/>
  <c r="AO846" i="1" s="1"/>
  <c r="X846" i="1"/>
  <c r="AQ846" i="1" s="1"/>
  <c r="S879" i="1"/>
  <c r="X879" i="1"/>
  <c r="AQ879" i="1" s="1"/>
  <c r="Q879" i="1"/>
  <c r="AO879" i="1" s="1"/>
  <c r="R879" i="1"/>
  <c r="AP879" i="1" s="1"/>
  <c r="T844" i="1"/>
  <c r="AB844" i="1"/>
  <c r="AU844" i="1" s="1"/>
  <c r="AA844" i="1"/>
  <c r="S800" i="1"/>
  <c r="R800" i="1"/>
  <c r="AP800" i="1" s="1"/>
  <c r="X800" i="1"/>
  <c r="AQ800" i="1" s="1"/>
  <c r="Q800" i="1"/>
  <c r="AO800" i="1" s="1"/>
  <c r="X843" i="1"/>
  <c r="AQ843" i="1" s="1"/>
  <c r="S843" i="1"/>
  <c r="Q843" i="1"/>
  <c r="AO843" i="1" s="1"/>
  <c r="R843" i="1"/>
  <c r="AP843" i="1" s="1"/>
  <c r="T801" i="1"/>
  <c r="AB801" i="1"/>
  <c r="AU801" i="1" s="1"/>
  <c r="AA801" i="1"/>
  <c r="AG791" i="1"/>
  <c r="AZ791" i="1" s="1"/>
  <c r="R835" i="1"/>
  <c r="AP835" i="1" s="1"/>
  <c r="S835" i="1"/>
  <c r="X835" i="1"/>
  <c r="AQ835" i="1" s="1"/>
  <c r="Q835" i="1"/>
  <c r="AO835" i="1" s="1"/>
  <c r="AB774" i="1"/>
  <c r="AU774" i="1" s="1"/>
  <c r="AA774" i="1"/>
  <c r="T774" i="1"/>
  <c r="X777" i="1"/>
  <c r="AQ777" i="1" s="1"/>
  <c r="Q777" i="1"/>
  <c r="AO777" i="1" s="1"/>
  <c r="S777" i="1"/>
  <c r="R777" i="1"/>
  <c r="AP777" i="1" s="1"/>
  <c r="R728" i="1"/>
  <c r="AP728" i="1" s="1"/>
  <c r="X728" i="1"/>
  <c r="AQ728" i="1" s="1"/>
  <c r="S728" i="1"/>
  <c r="Q728" i="1"/>
  <c r="AO728" i="1" s="1"/>
  <c r="S787" i="1"/>
  <c r="Q787" i="1"/>
  <c r="AO787" i="1" s="1"/>
  <c r="X787" i="1"/>
  <c r="AQ787" i="1" s="1"/>
  <c r="R787" i="1"/>
  <c r="AP787" i="1" s="1"/>
  <c r="Q734" i="1"/>
  <c r="AO734" i="1" s="1"/>
  <c r="S734" i="1"/>
  <c r="R734" i="1"/>
  <c r="AP734" i="1" s="1"/>
  <c r="X734" i="1"/>
  <c r="AQ734" i="1" s="1"/>
  <c r="Q772" i="1"/>
  <c r="AO772" i="1" s="1"/>
  <c r="X772" i="1"/>
  <c r="AQ772" i="1" s="1"/>
  <c r="R772" i="1"/>
  <c r="AP772" i="1" s="1"/>
  <c r="S772" i="1"/>
  <c r="R712" i="1"/>
  <c r="AP712" i="1" s="1"/>
  <c r="Q712" i="1"/>
  <c r="AO712" i="1" s="1"/>
  <c r="X712" i="1"/>
  <c r="AQ712" i="1" s="1"/>
  <c r="S712" i="1"/>
  <c r="AA705" i="1"/>
  <c r="T705" i="1"/>
  <c r="AB705" i="1"/>
  <c r="AU705" i="1" s="1"/>
  <c r="AB696" i="1"/>
  <c r="AU696" i="1" s="1"/>
  <c r="AA696" i="1"/>
  <c r="T696" i="1"/>
  <c r="S683" i="1"/>
  <c r="X683" i="1"/>
  <c r="AQ683" i="1" s="1"/>
  <c r="R683" i="1"/>
  <c r="AP683" i="1" s="1"/>
  <c r="Q683" i="1"/>
  <c r="AO683" i="1" s="1"/>
  <c r="S709" i="1"/>
  <c r="R709" i="1"/>
  <c r="AP709" i="1" s="1"/>
  <c r="X709" i="1"/>
  <c r="AQ709" i="1" s="1"/>
  <c r="Q709" i="1"/>
  <c r="AO709" i="1" s="1"/>
  <c r="Q713" i="1"/>
  <c r="AO713" i="1" s="1"/>
  <c r="S713" i="1"/>
  <c r="X713" i="1"/>
  <c r="AQ713" i="1" s="1"/>
  <c r="R713" i="1"/>
  <c r="AP713" i="1" s="1"/>
  <c r="L614" i="1"/>
  <c r="L632" i="1" s="1"/>
  <c r="R690" i="1"/>
  <c r="AP690" i="1" s="1"/>
  <c r="Q690" i="1"/>
  <c r="AO690" i="1" s="1"/>
  <c r="X690" i="1"/>
  <c r="AQ690" i="1" s="1"/>
  <c r="S690" i="1"/>
  <c r="T660" i="1"/>
  <c r="AB660" i="1"/>
  <c r="AU660" i="1" s="1"/>
  <c r="AA660" i="1"/>
  <c r="S593" i="1"/>
  <c r="R593" i="1"/>
  <c r="AP593" i="1" s="1"/>
  <c r="Q593" i="1"/>
  <c r="AO593" i="1" s="1"/>
  <c r="X593" i="1"/>
  <c r="AQ593" i="1" s="1"/>
  <c r="AA615" i="1"/>
  <c r="T615" i="1"/>
  <c r="AB615" i="1"/>
  <c r="AU615" i="1" s="1"/>
  <c r="T620" i="1"/>
  <c r="AB620" i="1"/>
  <c r="AU620" i="1" s="1"/>
  <c r="AA620" i="1"/>
  <c r="X679" i="1"/>
  <c r="AQ679" i="1" s="1"/>
  <c r="S679" i="1"/>
  <c r="R679" i="1"/>
  <c r="AP679" i="1" s="1"/>
  <c r="Q679" i="1"/>
  <c r="AO679" i="1" s="1"/>
  <c r="T623" i="1"/>
  <c r="AB623" i="1"/>
  <c r="AU623" i="1" s="1"/>
  <c r="AA623" i="1"/>
  <c r="X505" i="1"/>
  <c r="AQ505" i="1" s="1"/>
  <c r="S505" i="1"/>
  <c r="R505" i="1"/>
  <c r="AP505" i="1" s="1"/>
  <c r="Q505" i="1"/>
  <c r="AO505" i="1" s="1"/>
  <c r="S552" i="1"/>
  <c r="R552" i="1"/>
  <c r="AP552" i="1" s="1"/>
  <c r="Q552" i="1"/>
  <c r="AO552" i="1" s="1"/>
  <c r="X552" i="1"/>
  <c r="AQ552" i="1" s="1"/>
  <c r="X643" i="1"/>
  <c r="AQ643" i="1" s="1"/>
  <c r="S643" i="1"/>
  <c r="R643" i="1"/>
  <c r="AP643" i="1" s="1"/>
  <c r="Q643" i="1"/>
  <c r="AO643" i="1" s="1"/>
  <c r="S544" i="1"/>
  <c r="R544" i="1"/>
  <c r="AP544" i="1" s="1"/>
  <c r="Q544" i="1"/>
  <c r="AO544" i="1" s="1"/>
  <c r="X544" i="1"/>
  <c r="AQ544" i="1" s="1"/>
  <c r="X509" i="1"/>
  <c r="AQ509" i="1" s="1"/>
  <c r="S509" i="1"/>
  <c r="R509" i="1"/>
  <c r="AP509" i="1" s="1"/>
  <c r="Q509" i="1"/>
  <c r="AO509" i="1" s="1"/>
  <c r="Q458" i="1"/>
  <c r="AO458" i="1" s="1"/>
  <c r="S458" i="1"/>
  <c r="R458" i="1"/>
  <c r="AP458" i="1" s="1"/>
  <c r="X458" i="1"/>
  <c r="AQ458" i="1" s="1"/>
  <c r="U604" i="1"/>
  <c r="S402" i="1"/>
  <c r="Q402" i="1"/>
  <c r="AO402" i="1" s="1"/>
  <c r="X402" i="1"/>
  <c r="AQ402" i="1" s="1"/>
  <c r="R402" i="1"/>
  <c r="AP402" i="1" s="1"/>
  <c r="S575" i="1"/>
  <c r="R575" i="1"/>
  <c r="AP575" i="1" s="1"/>
  <c r="Q575" i="1"/>
  <c r="AO575" i="1" s="1"/>
  <c r="X575" i="1"/>
  <c r="AQ575" i="1" s="1"/>
  <c r="T440" i="1"/>
  <c r="AB440" i="1"/>
  <c r="AU440" i="1" s="1"/>
  <c r="AA440" i="1"/>
  <c r="S477" i="1"/>
  <c r="R477" i="1"/>
  <c r="AP477" i="1" s="1"/>
  <c r="Q477" i="1"/>
  <c r="AO477" i="1" s="1"/>
  <c r="X477" i="1"/>
  <c r="AQ477" i="1" s="1"/>
  <c r="S409" i="1"/>
  <c r="R409" i="1"/>
  <c r="AP409" i="1" s="1"/>
  <c r="X409" i="1"/>
  <c r="AQ409" i="1" s="1"/>
  <c r="Q409" i="1"/>
  <c r="AO409" i="1" s="1"/>
  <c r="T465" i="1"/>
  <c r="AB465" i="1"/>
  <c r="AU465" i="1" s="1"/>
  <c r="AA465" i="1"/>
  <c r="S536" i="1"/>
  <c r="R536" i="1"/>
  <c r="AP536" i="1" s="1"/>
  <c r="Q536" i="1"/>
  <c r="AO536" i="1" s="1"/>
  <c r="X536" i="1"/>
  <c r="AQ536" i="1" s="1"/>
  <c r="S421" i="1"/>
  <c r="R421" i="1"/>
  <c r="AP421" i="1" s="1"/>
  <c r="Q421" i="1"/>
  <c r="AO421" i="1" s="1"/>
  <c r="X421" i="1"/>
  <c r="AQ421" i="1" s="1"/>
  <c r="T269" i="1"/>
  <c r="AB269" i="1"/>
  <c r="AU269" i="1" s="1"/>
  <c r="AA269" i="1"/>
  <c r="X247" i="1"/>
  <c r="AQ247" i="1" s="1"/>
  <c r="S247" i="1"/>
  <c r="R247" i="1"/>
  <c r="AP247" i="1" s="1"/>
  <c r="Q247" i="1"/>
  <c r="AO247" i="1" s="1"/>
  <c r="AG341" i="1"/>
  <c r="AZ341" i="1" s="1"/>
  <c r="P604" i="1"/>
  <c r="X350" i="1"/>
  <c r="AQ350" i="1" s="1"/>
  <c r="S350" i="1"/>
  <c r="R350" i="1"/>
  <c r="AP350" i="1" s="1"/>
  <c r="Q350" i="1"/>
  <c r="AO350" i="1" s="1"/>
  <c r="S339" i="1"/>
  <c r="R339" i="1"/>
  <c r="Q339" i="1"/>
  <c r="X339" i="1"/>
  <c r="P357" i="1"/>
  <c r="P358" i="1" s="1"/>
  <c r="S368" i="1"/>
  <c r="R368" i="1"/>
  <c r="AP368" i="1" s="1"/>
  <c r="Q368" i="1"/>
  <c r="AO368" i="1" s="1"/>
  <c r="X368" i="1"/>
  <c r="AQ368" i="1" s="1"/>
  <c r="S439" i="1"/>
  <c r="R439" i="1"/>
  <c r="AP439" i="1" s="1"/>
  <c r="Q439" i="1"/>
  <c r="AO439" i="1" s="1"/>
  <c r="X439" i="1"/>
  <c r="AQ439" i="1" s="1"/>
  <c r="X469" i="1"/>
  <c r="AQ469" i="1" s="1"/>
  <c r="S469" i="1"/>
  <c r="R469" i="1"/>
  <c r="AP469" i="1" s="1"/>
  <c r="Q469" i="1"/>
  <c r="AO469" i="1" s="1"/>
  <c r="N315" i="1"/>
  <c r="AA164" i="1"/>
  <c r="S268" i="1"/>
  <c r="X268" i="1"/>
  <c r="AQ268" i="1" s="1"/>
  <c r="R268" i="1"/>
  <c r="AP268" i="1" s="1"/>
  <c r="Q268" i="1"/>
  <c r="AO268" i="1" s="1"/>
  <c r="AB232" i="1"/>
  <c r="AU232" i="1" s="1"/>
  <c r="AA232" i="1"/>
  <c r="T232" i="1"/>
  <c r="N134" i="1"/>
  <c r="S271" i="1"/>
  <c r="X271" i="1"/>
  <c r="AQ271" i="1" s="1"/>
  <c r="R271" i="1"/>
  <c r="AP271" i="1" s="1"/>
  <c r="Q271" i="1"/>
  <c r="AO271" i="1" s="1"/>
  <c r="T237" i="1"/>
  <c r="AB237" i="1"/>
  <c r="AU237" i="1" s="1"/>
  <c r="AA237" i="1"/>
  <c r="S551" i="1"/>
  <c r="R551" i="1"/>
  <c r="AP551" i="1" s="1"/>
  <c r="Q551" i="1"/>
  <c r="AO551" i="1" s="1"/>
  <c r="X551" i="1"/>
  <c r="AQ551" i="1" s="1"/>
  <c r="R127" i="1"/>
  <c r="AP127" i="1" s="1"/>
  <c r="Q127" i="1"/>
  <c r="AO127" i="1" s="1"/>
  <c r="X127" i="1"/>
  <c r="AQ127" i="1" s="1"/>
  <c r="S127" i="1"/>
  <c r="T104" i="1"/>
  <c r="AA104" i="1"/>
  <c r="AB104" i="1"/>
  <c r="AU104" i="1" s="1"/>
  <c r="S43" i="1"/>
  <c r="R43" i="1"/>
  <c r="AP43" i="1" s="1"/>
  <c r="Q43" i="1"/>
  <c r="AO43" i="1" s="1"/>
  <c r="X43" i="1"/>
  <c r="AQ43" i="1" s="1"/>
  <c r="S243" i="1"/>
  <c r="R243" i="1"/>
  <c r="AP243" i="1" s="1"/>
  <c r="Q243" i="1"/>
  <c r="AO243" i="1" s="1"/>
  <c r="X243" i="1"/>
  <c r="AQ243" i="1" s="1"/>
  <c r="AB147" i="1"/>
  <c r="AU147" i="1" s="1"/>
  <c r="AA147" i="1"/>
  <c r="T147" i="1"/>
  <c r="P433" i="1"/>
  <c r="S429" i="1"/>
  <c r="R429" i="1"/>
  <c r="Q429" i="1"/>
  <c r="X429" i="1"/>
  <c r="X150" i="1"/>
  <c r="AQ150" i="1" s="1"/>
  <c r="S150" i="1"/>
  <c r="R150" i="1"/>
  <c r="AP150" i="1" s="1"/>
  <c r="Q150" i="1"/>
  <c r="AO150" i="1" s="1"/>
  <c r="AQ56" i="1"/>
  <c r="AY931" i="1"/>
  <c r="N193" i="1"/>
  <c r="S238" i="1"/>
  <c r="R238" i="1"/>
  <c r="AP238" i="1" s="1"/>
  <c r="Q238" i="1"/>
  <c r="AO238" i="1" s="1"/>
  <c r="X238" i="1"/>
  <c r="AQ238" i="1" s="1"/>
  <c r="AV931" i="1"/>
  <c r="L134" i="1"/>
  <c r="R93" i="1"/>
  <c r="AP93" i="1" s="1"/>
  <c r="Q93" i="1"/>
  <c r="AO93" i="1" s="1"/>
  <c r="X93" i="1"/>
  <c r="AQ93" i="1" s="1"/>
  <c r="S93" i="1"/>
  <c r="T69" i="1"/>
  <c r="AB69" i="1"/>
  <c r="AU69" i="1" s="1"/>
  <c r="AA69" i="1"/>
  <c r="T61" i="1"/>
  <c r="AA61" i="1"/>
  <c r="T26" i="1"/>
  <c r="AB26" i="1"/>
  <c r="AU26" i="1" s="1"/>
  <c r="AA26" i="1"/>
  <c r="AG9" i="1"/>
  <c r="AZ9" i="1" s="1"/>
  <c r="X202" i="1"/>
  <c r="AQ202" i="1" s="1"/>
  <c r="S202" i="1"/>
  <c r="R202" i="1"/>
  <c r="AP202" i="1" s="1"/>
  <c r="Q202" i="1"/>
  <c r="AO202" i="1" s="1"/>
  <c r="R119" i="1"/>
  <c r="AP119" i="1" s="1"/>
  <c r="Q119" i="1"/>
  <c r="AO119" i="1" s="1"/>
  <c r="X119" i="1"/>
  <c r="AQ119" i="1" s="1"/>
  <c r="S119" i="1"/>
  <c r="AQ107" i="1"/>
  <c r="O134" i="1"/>
  <c r="X124" i="1"/>
  <c r="AQ124" i="1" s="1"/>
  <c r="S124" i="1"/>
  <c r="R124" i="1"/>
  <c r="AP124" i="1" s="1"/>
  <c r="Q124" i="1"/>
  <c r="AO124" i="1" s="1"/>
  <c r="X94" i="1"/>
  <c r="AQ94" i="1" s="1"/>
  <c r="S94" i="1"/>
  <c r="Q94" i="1"/>
  <c r="AO94" i="1" s="1"/>
  <c r="R94" i="1"/>
  <c r="AP94" i="1" s="1"/>
  <c r="AB152" i="1"/>
  <c r="AU152" i="1" s="1"/>
  <c r="AA152" i="1"/>
  <c r="T152" i="1"/>
  <c r="S108" i="1"/>
  <c r="R108" i="1"/>
  <c r="AP108" i="1" s="1"/>
  <c r="Q108" i="1"/>
  <c r="X108" i="1"/>
  <c r="AQ108" i="1" s="1"/>
  <c r="AS931" i="1"/>
  <c r="S10" i="1"/>
  <c r="X10" i="1"/>
  <c r="AQ10" i="1" s="1"/>
  <c r="R10" i="1"/>
  <c r="AP10" i="1" s="1"/>
  <c r="Q10" i="1"/>
  <c r="AO10" i="1" s="1"/>
  <c r="R880" i="1"/>
  <c r="AP880" i="1" s="1"/>
  <c r="X880" i="1"/>
  <c r="AQ880" i="1" s="1"/>
  <c r="S880" i="1"/>
  <c r="Q880" i="1"/>
  <c r="AO880" i="1" s="1"/>
  <c r="X824" i="1"/>
  <c r="AQ824" i="1" s="1"/>
  <c r="S824" i="1"/>
  <c r="R824" i="1"/>
  <c r="AP824" i="1" s="1"/>
  <c r="Q824" i="1"/>
  <c r="AO824" i="1" s="1"/>
  <c r="S756" i="1"/>
  <c r="R756" i="1"/>
  <c r="AP756" i="1" s="1"/>
  <c r="Q756" i="1"/>
  <c r="AO756" i="1" s="1"/>
  <c r="X756" i="1"/>
  <c r="AQ756" i="1" s="1"/>
  <c r="R724" i="1"/>
  <c r="AP724" i="1" s="1"/>
  <c r="X724" i="1"/>
  <c r="AQ724" i="1" s="1"/>
  <c r="S724" i="1"/>
  <c r="Q724" i="1"/>
  <c r="AO724" i="1" s="1"/>
  <c r="T707" i="1"/>
  <c r="AA707" i="1"/>
  <c r="AB707" i="1"/>
  <c r="AU707" i="1" s="1"/>
  <c r="O810" i="1"/>
  <c r="O812" i="1" s="1"/>
  <c r="P669" i="1"/>
  <c r="U669" i="1"/>
  <c r="U810" i="1" s="1"/>
  <c r="U812" i="1" s="1"/>
  <c r="V669" i="1"/>
  <c r="V810" i="1" s="1"/>
  <c r="V812" i="1" s="1"/>
  <c r="X645" i="1"/>
  <c r="AQ645" i="1" s="1"/>
  <c r="S645" i="1"/>
  <c r="R645" i="1"/>
  <c r="AP645" i="1" s="1"/>
  <c r="Q645" i="1"/>
  <c r="AO645" i="1" s="1"/>
  <c r="AB549" i="1"/>
  <c r="AU549" i="1" s="1"/>
  <c r="AA549" i="1"/>
  <c r="T549" i="1"/>
  <c r="T589" i="1"/>
  <c r="AB589" i="1"/>
  <c r="AU589" i="1" s="1"/>
  <c r="AA589" i="1"/>
  <c r="AB464" i="1"/>
  <c r="AU464" i="1" s="1"/>
  <c r="AA464" i="1"/>
  <c r="T464" i="1"/>
  <c r="AQ300" i="1"/>
  <c r="P158" i="1"/>
  <c r="U158" i="1"/>
  <c r="U192" i="1" s="1"/>
  <c r="O192" i="1"/>
  <c r="O193" i="1" s="1"/>
  <c r="V158" i="1"/>
  <c r="V192" i="1" s="1"/>
  <c r="S130" i="1"/>
  <c r="R130" i="1"/>
  <c r="AP130" i="1" s="1"/>
  <c r="Q130" i="1"/>
  <c r="AO130" i="1" s="1"/>
  <c r="X130" i="1"/>
  <c r="AQ130" i="1" s="1"/>
  <c r="AT140" i="1"/>
  <c r="S235" i="1"/>
  <c r="R235" i="1"/>
  <c r="AP235" i="1" s="1"/>
  <c r="Q235" i="1"/>
  <c r="AO235" i="1" s="1"/>
  <c r="X235" i="1"/>
  <c r="AQ235" i="1" s="1"/>
  <c r="AA63" i="1"/>
  <c r="T63" i="1"/>
  <c r="AA852" i="1"/>
  <c r="T852" i="1"/>
  <c r="AB852" i="1"/>
  <c r="AU852" i="1" s="1"/>
  <c r="AA796" i="1"/>
  <c r="AB796" i="1"/>
  <c r="AU796" i="1" s="1"/>
  <c r="T796" i="1"/>
  <c r="Q726" i="1"/>
  <c r="AO726" i="1" s="1"/>
  <c r="X726" i="1"/>
  <c r="AQ726" i="1" s="1"/>
  <c r="S726" i="1"/>
  <c r="R726" i="1"/>
  <c r="AP726" i="1" s="1"/>
  <c r="R736" i="1"/>
  <c r="AP736" i="1" s="1"/>
  <c r="X736" i="1"/>
  <c r="AQ736" i="1" s="1"/>
  <c r="S736" i="1"/>
  <c r="Q736" i="1"/>
  <c r="AO736" i="1" s="1"/>
  <c r="T596" i="1"/>
  <c r="AB596" i="1"/>
  <c r="AU596" i="1" s="1"/>
  <c r="AA596" i="1"/>
  <c r="X613" i="1"/>
  <c r="AQ613" i="1" s="1"/>
  <c r="S613" i="1"/>
  <c r="R613" i="1"/>
  <c r="AP613" i="1" s="1"/>
  <c r="Q613" i="1"/>
  <c r="AO613" i="1" s="1"/>
  <c r="AT479" i="1"/>
  <c r="AG479" i="1"/>
  <c r="AZ479" i="1" s="1"/>
  <c r="X501" i="1"/>
  <c r="AQ501" i="1" s="1"/>
  <c r="S501" i="1"/>
  <c r="R501" i="1"/>
  <c r="AP501" i="1" s="1"/>
  <c r="Q501" i="1"/>
  <c r="AO501" i="1" s="1"/>
  <c r="S290" i="1"/>
  <c r="R290" i="1"/>
  <c r="AP290" i="1" s="1"/>
  <c r="Q290" i="1"/>
  <c r="AO290" i="1" s="1"/>
  <c r="X290" i="1"/>
  <c r="AQ290" i="1" s="1"/>
  <c r="V304" i="1"/>
  <c r="V315" i="1" s="1"/>
  <c r="R355" i="1"/>
  <c r="AP355" i="1" s="1"/>
  <c r="S355" i="1"/>
  <c r="Q355" i="1"/>
  <c r="AO355" i="1" s="1"/>
  <c r="X355" i="1"/>
  <c r="AQ355" i="1" s="1"/>
  <c r="U66" i="1"/>
  <c r="U74" i="1" s="1"/>
  <c r="Q859" i="1"/>
  <c r="AO859" i="1" s="1"/>
  <c r="X859" i="1"/>
  <c r="AQ859" i="1" s="1"/>
  <c r="R859" i="1"/>
  <c r="AP859" i="1" s="1"/>
  <c r="S859" i="1"/>
  <c r="X250" i="1"/>
  <c r="AQ250" i="1" s="1"/>
  <c r="S250" i="1"/>
  <c r="R250" i="1"/>
  <c r="AP250" i="1" s="1"/>
  <c r="Q250" i="1"/>
  <c r="AO250" i="1" s="1"/>
  <c r="R915" i="1"/>
  <c r="AP915" i="1" s="1"/>
  <c r="Q915" i="1"/>
  <c r="AO915" i="1" s="1"/>
  <c r="S915" i="1"/>
  <c r="X915" i="1"/>
  <c r="AQ915" i="1" s="1"/>
  <c r="AQ917" i="1"/>
  <c r="U924" i="1"/>
  <c r="Q902" i="1"/>
  <c r="AO902" i="1" s="1"/>
  <c r="R902" i="1"/>
  <c r="AP902" i="1" s="1"/>
  <c r="X902" i="1"/>
  <c r="AQ902" i="1" s="1"/>
  <c r="S902" i="1"/>
  <c r="AB850" i="1"/>
  <c r="AU850" i="1" s="1"/>
  <c r="T850" i="1"/>
  <c r="AA850" i="1"/>
  <c r="AA886" i="1"/>
  <c r="AB886" i="1"/>
  <c r="AU886" i="1" s="1"/>
  <c r="T886" i="1"/>
  <c r="S899" i="1"/>
  <c r="P904" i="1"/>
  <c r="R899" i="1"/>
  <c r="Q899" i="1"/>
  <c r="X899" i="1"/>
  <c r="R873" i="1"/>
  <c r="AP873" i="1" s="1"/>
  <c r="X873" i="1"/>
  <c r="AQ873" i="1" s="1"/>
  <c r="Q873" i="1"/>
  <c r="AO873" i="1" s="1"/>
  <c r="S873" i="1"/>
  <c r="Q794" i="1"/>
  <c r="AO794" i="1" s="1"/>
  <c r="S794" i="1"/>
  <c r="X794" i="1"/>
  <c r="AQ794" i="1" s="1"/>
  <c r="R794" i="1"/>
  <c r="AP794" i="1" s="1"/>
  <c r="R857" i="1"/>
  <c r="AP857" i="1" s="1"/>
  <c r="Q857" i="1"/>
  <c r="AO857" i="1" s="1"/>
  <c r="S857" i="1"/>
  <c r="X857" i="1"/>
  <c r="AQ857" i="1" s="1"/>
  <c r="X788" i="1"/>
  <c r="AQ788" i="1" s="1"/>
  <c r="S788" i="1"/>
  <c r="R788" i="1"/>
  <c r="AP788" i="1" s="1"/>
  <c r="Q788" i="1"/>
  <c r="AO788" i="1" s="1"/>
  <c r="AB780" i="1"/>
  <c r="AU780" i="1" s="1"/>
  <c r="AA780" i="1"/>
  <c r="T780" i="1"/>
  <c r="S757" i="1"/>
  <c r="Q757" i="1"/>
  <c r="AO757" i="1" s="1"/>
  <c r="R757" i="1"/>
  <c r="AP757" i="1" s="1"/>
  <c r="X757" i="1"/>
  <c r="AQ757" i="1" s="1"/>
  <c r="R837" i="1"/>
  <c r="AP837" i="1" s="1"/>
  <c r="Q837" i="1"/>
  <c r="AO837" i="1" s="1"/>
  <c r="X837" i="1"/>
  <c r="AQ837" i="1" s="1"/>
  <c r="S837" i="1"/>
  <c r="AA826" i="1"/>
  <c r="AB826" i="1"/>
  <c r="AU826" i="1" s="1"/>
  <c r="T826" i="1"/>
  <c r="AA820" i="1"/>
  <c r="T820" i="1"/>
  <c r="AB820" i="1"/>
  <c r="AU820" i="1" s="1"/>
  <c r="T743" i="1"/>
  <c r="AA743" i="1"/>
  <c r="AB743" i="1"/>
  <c r="AU743" i="1" s="1"/>
  <c r="T783" i="1"/>
  <c r="AA783" i="1"/>
  <c r="AB783" i="1"/>
  <c r="AU783" i="1" s="1"/>
  <c r="S748" i="1"/>
  <c r="R748" i="1"/>
  <c r="AP748" i="1" s="1"/>
  <c r="X748" i="1"/>
  <c r="AQ748" i="1" s="1"/>
  <c r="Q748" i="1"/>
  <c r="AO748" i="1" s="1"/>
  <c r="S741" i="1"/>
  <c r="Q741" i="1"/>
  <c r="AO741" i="1" s="1"/>
  <c r="X741" i="1"/>
  <c r="AQ741" i="1" s="1"/>
  <c r="R741" i="1"/>
  <c r="AP741" i="1" s="1"/>
  <c r="AG750" i="1"/>
  <c r="AZ750" i="1" s="1"/>
  <c r="S753" i="1"/>
  <c r="Q753" i="1"/>
  <c r="AO753" i="1" s="1"/>
  <c r="X753" i="1"/>
  <c r="AQ753" i="1" s="1"/>
  <c r="R753" i="1"/>
  <c r="AP753" i="1" s="1"/>
  <c r="Q701" i="1"/>
  <c r="AO701" i="1" s="1"/>
  <c r="S701" i="1"/>
  <c r="X701" i="1"/>
  <c r="AQ701" i="1" s="1"/>
  <c r="R701" i="1"/>
  <c r="AP701" i="1" s="1"/>
  <c r="R681" i="1"/>
  <c r="AP681" i="1" s="1"/>
  <c r="Q681" i="1"/>
  <c r="AO681" i="1" s="1"/>
  <c r="X681" i="1"/>
  <c r="AQ681" i="1" s="1"/>
  <c r="S681" i="1"/>
  <c r="R703" i="1"/>
  <c r="AP703" i="1" s="1"/>
  <c r="Q703" i="1"/>
  <c r="AO703" i="1" s="1"/>
  <c r="X703" i="1"/>
  <c r="AQ703" i="1" s="1"/>
  <c r="S703" i="1"/>
  <c r="Q768" i="1"/>
  <c r="AO768" i="1" s="1"/>
  <c r="X768" i="1"/>
  <c r="AQ768" i="1" s="1"/>
  <c r="R768" i="1"/>
  <c r="AP768" i="1" s="1"/>
  <c r="S768" i="1"/>
  <c r="R686" i="1"/>
  <c r="AP686" i="1" s="1"/>
  <c r="Q686" i="1"/>
  <c r="AO686" i="1" s="1"/>
  <c r="S686" i="1"/>
  <c r="X686" i="1"/>
  <c r="AQ686" i="1" s="1"/>
  <c r="AG720" i="1"/>
  <c r="AZ720" i="1" s="1"/>
  <c r="AT720" i="1"/>
  <c r="S602" i="1"/>
  <c r="R602" i="1"/>
  <c r="AP602" i="1" s="1"/>
  <c r="Q602" i="1"/>
  <c r="AO602" i="1" s="1"/>
  <c r="X602" i="1"/>
  <c r="AQ602" i="1" s="1"/>
  <c r="S595" i="1"/>
  <c r="R595" i="1"/>
  <c r="AP595" i="1" s="1"/>
  <c r="Q595" i="1"/>
  <c r="AO595" i="1" s="1"/>
  <c r="X595" i="1"/>
  <c r="AQ595" i="1" s="1"/>
  <c r="AG650" i="1"/>
  <c r="AZ650" i="1" s="1"/>
  <c r="O631" i="1"/>
  <c r="P616" i="1"/>
  <c r="V616" i="1"/>
  <c r="V631" i="1" s="1"/>
  <c r="U616" i="1"/>
  <c r="U631" i="1" s="1"/>
  <c r="U632" i="1" s="1"/>
  <c r="Q569" i="1"/>
  <c r="AO569" i="1" s="1"/>
  <c r="X569" i="1"/>
  <c r="AQ569" i="1" s="1"/>
  <c r="S569" i="1"/>
  <c r="R569" i="1"/>
  <c r="AP569" i="1" s="1"/>
  <c r="T554" i="1"/>
  <c r="AB554" i="1"/>
  <c r="AU554" i="1" s="1"/>
  <c r="AA554" i="1"/>
  <c r="T534" i="1"/>
  <c r="AB534" i="1"/>
  <c r="AU534" i="1" s="1"/>
  <c r="AA534" i="1"/>
  <c r="S584" i="1"/>
  <c r="X584" i="1"/>
  <c r="AQ584" i="1" s="1"/>
  <c r="R584" i="1"/>
  <c r="AP584" i="1" s="1"/>
  <c r="Q584" i="1"/>
  <c r="AO584" i="1" s="1"/>
  <c r="Q577" i="1"/>
  <c r="AO577" i="1" s="1"/>
  <c r="X577" i="1"/>
  <c r="AQ577" i="1" s="1"/>
  <c r="S577" i="1"/>
  <c r="R577" i="1"/>
  <c r="AP577" i="1" s="1"/>
  <c r="S540" i="1"/>
  <c r="R540" i="1"/>
  <c r="AP540" i="1" s="1"/>
  <c r="Q540" i="1"/>
  <c r="AO540" i="1" s="1"/>
  <c r="X540" i="1"/>
  <c r="AQ540" i="1" s="1"/>
  <c r="R648" i="1"/>
  <c r="AP648" i="1" s="1"/>
  <c r="X648" i="1"/>
  <c r="AQ648" i="1" s="1"/>
  <c r="S648" i="1"/>
  <c r="Q648" i="1"/>
  <c r="AO648" i="1" s="1"/>
  <c r="T526" i="1"/>
  <c r="AA526" i="1"/>
  <c r="AB526" i="1"/>
  <c r="AU526" i="1" s="1"/>
  <c r="X497" i="1"/>
  <c r="AQ497" i="1" s="1"/>
  <c r="S497" i="1"/>
  <c r="R497" i="1"/>
  <c r="AP497" i="1" s="1"/>
  <c r="Q497" i="1"/>
  <c r="AO497" i="1" s="1"/>
  <c r="S470" i="1"/>
  <c r="R470" i="1"/>
  <c r="AP470" i="1" s="1"/>
  <c r="Q470" i="1"/>
  <c r="AO470" i="1" s="1"/>
  <c r="X470" i="1"/>
  <c r="AQ470" i="1" s="1"/>
  <c r="S532" i="1"/>
  <c r="R532" i="1"/>
  <c r="AP532" i="1" s="1"/>
  <c r="Q532" i="1"/>
  <c r="AO532" i="1" s="1"/>
  <c r="X532" i="1"/>
  <c r="AQ532" i="1" s="1"/>
  <c r="T518" i="1"/>
  <c r="AB518" i="1"/>
  <c r="AU518" i="1" s="1"/>
  <c r="AA518" i="1"/>
  <c r="T566" i="1"/>
  <c r="V385" i="1"/>
  <c r="S564" i="1"/>
  <c r="R564" i="1"/>
  <c r="AP564" i="1" s="1"/>
  <c r="Q564" i="1"/>
  <c r="AO564" i="1" s="1"/>
  <c r="X564" i="1"/>
  <c r="AQ564" i="1" s="1"/>
  <c r="V604" i="1"/>
  <c r="S547" i="1"/>
  <c r="R547" i="1"/>
  <c r="AP547" i="1" s="1"/>
  <c r="Q547" i="1"/>
  <c r="AO547" i="1" s="1"/>
  <c r="X547" i="1"/>
  <c r="AQ547" i="1" s="1"/>
  <c r="Q688" i="1"/>
  <c r="AO688" i="1" s="1"/>
  <c r="X688" i="1"/>
  <c r="AQ688" i="1" s="1"/>
  <c r="R688" i="1"/>
  <c r="AP688" i="1" s="1"/>
  <c r="S688" i="1"/>
  <c r="T574" i="1"/>
  <c r="AB574" i="1"/>
  <c r="AU574" i="1" s="1"/>
  <c r="AA574" i="1"/>
  <c r="AG380" i="1"/>
  <c r="AZ380" i="1" s="1"/>
  <c r="V338" i="1"/>
  <c r="AT471" i="1"/>
  <c r="AG471" i="1"/>
  <c r="AZ471" i="1" s="1"/>
  <c r="X451" i="1"/>
  <c r="AQ451" i="1" s="1"/>
  <c r="S451" i="1"/>
  <c r="R451" i="1"/>
  <c r="AP451" i="1" s="1"/>
  <c r="Q451" i="1"/>
  <c r="AO451" i="1" s="1"/>
  <c r="S524" i="1"/>
  <c r="R524" i="1"/>
  <c r="AP524" i="1" s="1"/>
  <c r="Q524" i="1"/>
  <c r="AO524" i="1" s="1"/>
  <c r="X524" i="1"/>
  <c r="AQ524" i="1" s="1"/>
  <c r="S457" i="1"/>
  <c r="R457" i="1"/>
  <c r="AP457" i="1" s="1"/>
  <c r="Q457" i="1"/>
  <c r="AO457" i="1" s="1"/>
  <c r="X457" i="1"/>
  <c r="AQ457" i="1" s="1"/>
  <c r="X408" i="1"/>
  <c r="AQ408" i="1" s="1"/>
  <c r="S408" i="1"/>
  <c r="R408" i="1"/>
  <c r="AP408" i="1" s="1"/>
  <c r="Q408" i="1"/>
  <c r="AO408" i="1" s="1"/>
  <c r="S321" i="1"/>
  <c r="R321" i="1"/>
  <c r="Q321" i="1"/>
  <c r="X321" i="1"/>
  <c r="P322" i="1"/>
  <c r="T260" i="1"/>
  <c r="AB260" i="1"/>
  <c r="AU260" i="1" s="1"/>
  <c r="AA260" i="1"/>
  <c r="S494" i="1"/>
  <c r="R494" i="1"/>
  <c r="AP494" i="1" s="1"/>
  <c r="X494" i="1"/>
  <c r="AQ494" i="1" s="1"/>
  <c r="Q494" i="1"/>
  <c r="AO494" i="1" s="1"/>
  <c r="T307" i="1"/>
  <c r="AB307" i="1"/>
  <c r="AU307" i="1" s="1"/>
  <c r="AA307" i="1"/>
  <c r="R413" i="1"/>
  <c r="AP413" i="1" s="1"/>
  <c r="Q413" i="1"/>
  <c r="AO413" i="1" s="1"/>
  <c r="X413" i="1"/>
  <c r="AQ413" i="1" s="1"/>
  <c r="S413" i="1"/>
  <c r="U357" i="1"/>
  <c r="U358" i="1" s="1"/>
  <c r="S323" i="1"/>
  <c r="R323" i="1"/>
  <c r="Q323" i="1"/>
  <c r="P325" i="1"/>
  <c r="X323" i="1"/>
  <c r="T300" i="1"/>
  <c r="AB300" i="1"/>
  <c r="AA300" i="1"/>
  <c r="T384" i="1"/>
  <c r="AB384" i="1"/>
  <c r="AU384" i="1" s="1"/>
  <c r="AA384" i="1"/>
  <c r="AP372" i="1"/>
  <c r="S224" i="1"/>
  <c r="R224" i="1"/>
  <c r="Q224" i="1"/>
  <c r="P226" i="1"/>
  <c r="X224" i="1"/>
  <c r="X346" i="1"/>
  <c r="AQ346" i="1" s="1"/>
  <c r="S346" i="1"/>
  <c r="R346" i="1"/>
  <c r="AP346" i="1" s="1"/>
  <c r="Q346" i="1"/>
  <c r="AO346" i="1" s="1"/>
  <c r="AG264" i="1"/>
  <c r="AZ264" i="1" s="1"/>
  <c r="S231" i="1"/>
  <c r="R231" i="1"/>
  <c r="AP231" i="1" s="1"/>
  <c r="Q231" i="1"/>
  <c r="AO231" i="1" s="1"/>
  <c r="X231" i="1"/>
  <c r="AQ231" i="1" s="1"/>
  <c r="AG140" i="1"/>
  <c r="R165" i="1"/>
  <c r="AP165" i="1" s="1"/>
  <c r="Q165" i="1"/>
  <c r="AO165" i="1" s="1"/>
  <c r="S165" i="1"/>
  <c r="X165" i="1"/>
  <c r="AQ165" i="1" s="1"/>
  <c r="AG163" i="1"/>
  <c r="AZ163" i="1" s="1"/>
  <c r="R161" i="1"/>
  <c r="AP161" i="1" s="1"/>
  <c r="Q161" i="1"/>
  <c r="AO161" i="1" s="1"/>
  <c r="X161" i="1"/>
  <c r="AQ161" i="1" s="1"/>
  <c r="S161" i="1"/>
  <c r="X31" i="1"/>
  <c r="AQ31" i="1" s="1"/>
  <c r="S31" i="1"/>
  <c r="Q31" i="1"/>
  <c r="AO31" i="1" s="1"/>
  <c r="R31" i="1"/>
  <c r="AP31" i="1" s="1"/>
  <c r="O605" i="1"/>
  <c r="AU140" i="1"/>
  <c r="W932" i="1"/>
  <c r="S121" i="1"/>
  <c r="R121" i="1"/>
  <c r="AP121" i="1" s="1"/>
  <c r="Q121" i="1"/>
  <c r="AO121" i="1" s="1"/>
  <c r="X121" i="1"/>
  <c r="AQ121" i="1" s="1"/>
  <c r="T57" i="1"/>
  <c r="AA57" i="1"/>
  <c r="AT332" i="1"/>
  <c r="AG332" i="1"/>
  <c r="X160" i="1"/>
  <c r="AQ160" i="1" s="1"/>
  <c r="S160" i="1"/>
  <c r="R160" i="1"/>
  <c r="AP160" i="1" s="1"/>
  <c r="Q160" i="1"/>
  <c r="AO160" i="1" s="1"/>
  <c r="R123" i="1"/>
  <c r="AP123" i="1" s="1"/>
  <c r="Q123" i="1"/>
  <c r="AO123" i="1" s="1"/>
  <c r="X123" i="1"/>
  <c r="AQ123" i="1" s="1"/>
  <c r="S123" i="1"/>
  <c r="AX134" i="1"/>
  <c r="T262" i="1"/>
  <c r="AB262" i="1"/>
  <c r="AU262" i="1" s="1"/>
  <c r="AA262" i="1"/>
  <c r="R98" i="1"/>
  <c r="AP98" i="1" s="1"/>
  <c r="Q98" i="1"/>
  <c r="AO98" i="1" s="1"/>
  <c r="S98" i="1"/>
  <c r="AT60" i="1"/>
  <c r="AG60" i="1"/>
  <c r="AZ60" i="1" s="1"/>
  <c r="AB159" i="1"/>
  <c r="AU159" i="1" s="1"/>
  <c r="AA159" i="1"/>
  <c r="T159" i="1"/>
  <c r="AB103" i="1"/>
  <c r="AU103" i="1" s="1"/>
  <c r="AA103" i="1"/>
  <c r="T103" i="1"/>
  <c r="P106" i="1"/>
  <c r="X89" i="1"/>
  <c r="S89" i="1"/>
  <c r="R89" i="1"/>
  <c r="Q89" i="1"/>
  <c r="AW930" i="1"/>
  <c r="AW936" i="1" s="1"/>
  <c r="AW36" i="1"/>
  <c r="P215" i="1"/>
  <c r="S214" i="1"/>
  <c r="R214" i="1"/>
  <c r="Q214" i="1"/>
  <c r="X214" i="1"/>
  <c r="T65" i="1"/>
  <c r="AA65" i="1"/>
  <c r="T29" i="1"/>
  <c r="AB29" i="1"/>
  <c r="AU29" i="1" s="1"/>
  <c r="AA29" i="1"/>
  <c r="AG100" i="1"/>
  <c r="AZ100" i="1" s="1"/>
  <c r="S96" i="1"/>
  <c r="R96" i="1"/>
  <c r="AP96" i="1" s="1"/>
  <c r="Q96" i="1"/>
  <c r="AO96" i="1" s="1"/>
  <c r="X96" i="1"/>
  <c r="AQ96" i="1" s="1"/>
  <c r="S62" i="1"/>
  <c r="R62" i="1"/>
  <c r="AP62" i="1" s="1"/>
  <c r="AF62" i="1"/>
  <c r="AY62" i="1" s="1"/>
  <c r="Q62" i="1"/>
  <c r="AO62" i="1" s="1"/>
  <c r="X62" i="1"/>
  <c r="AQ62" i="1" s="1"/>
  <c r="R751" i="1"/>
  <c r="AP751" i="1" s="1"/>
  <c r="X751" i="1"/>
  <c r="AQ751" i="1" s="1"/>
  <c r="S751" i="1"/>
  <c r="Q751" i="1"/>
  <c r="AO751" i="1" s="1"/>
  <c r="S695" i="1"/>
  <c r="X695" i="1"/>
  <c r="AQ695" i="1" s="1"/>
  <c r="R695" i="1"/>
  <c r="AP695" i="1" s="1"/>
  <c r="Q695" i="1"/>
  <c r="AO695" i="1" s="1"/>
  <c r="T685" i="1"/>
  <c r="AB685" i="1"/>
  <c r="AU685" i="1" s="1"/>
  <c r="AA685" i="1"/>
  <c r="AB541" i="1"/>
  <c r="AU541" i="1" s="1"/>
  <c r="AA541" i="1"/>
  <c r="T541" i="1"/>
  <c r="T585" i="1"/>
  <c r="AB585" i="1"/>
  <c r="AU585" i="1" s="1"/>
  <c r="AA585" i="1"/>
  <c r="AB375" i="1"/>
  <c r="AU375" i="1" s="1"/>
  <c r="AA375" i="1"/>
  <c r="T375" i="1"/>
  <c r="X442" i="1"/>
  <c r="AQ442" i="1" s="1"/>
  <c r="S442" i="1"/>
  <c r="R442" i="1"/>
  <c r="AP442" i="1" s="1"/>
  <c r="Q442" i="1"/>
  <c r="AO442" i="1" s="1"/>
  <c r="T420" i="1"/>
  <c r="AB420" i="1"/>
  <c r="AU420" i="1" s="1"/>
  <c r="AA420" i="1"/>
  <c r="AB263" i="1"/>
  <c r="AU263" i="1" s="1"/>
  <c r="T263" i="1"/>
  <c r="AA263" i="1"/>
  <c r="AX931" i="1"/>
  <c r="AB240" i="1"/>
  <c r="AU240" i="1" s="1"/>
  <c r="AA240" i="1"/>
  <c r="T240" i="1"/>
  <c r="T129" i="1"/>
  <c r="AB129" i="1"/>
  <c r="AU129" i="1" s="1"/>
  <c r="AA129" i="1"/>
  <c r="T896" i="1"/>
  <c r="AA896" i="1"/>
  <c r="AB896" i="1"/>
  <c r="AU896" i="1" s="1"/>
  <c r="V614" i="1"/>
  <c r="S572" i="1"/>
  <c r="R572" i="1"/>
  <c r="AP572" i="1" s="1"/>
  <c r="Q572" i="1"/>
  <c r="AO572" i="1" s="1"/>
  <c r="X572" i="1"/>
  <c r="AQ572" i="1" s="1"/>
  <c r="T444" i="1"/>
  <c r="AB444" i="1"/>
  <c r="AU444" i="1" s="1"/>
  <c r="AA444" i="1"/>
  <c r="R657" i="1"/>
  <c r="AP657" i="1" s="1"/>
  <c r="X657" i="1"/>
  <c r="AQ657" i="1" s="1"/>
  <c r="S657" i="1"/>
  <c r="Q657" i="1"/>
  <c r="AO657" i="1" s="1"/>
  <c r="S347" i="1"/>
  <c r="R347" i="1"/>
  <c r="AP347" i="1" s="1"/>
  <c r="Q347" i="1"/>
  <c r="AO347" i="1" s="1"/>
  <c r="X347" i="1"/>
  <c r="AQ347" i="1" s="1"/>
  <c r="P227" i="1"/>
  <c r="O277" i="1"/>
  <c r="O278" i="1" s="1"/>
  <c r="V227" i="1"/>
  <c r="V277" i="1" s="1"/>
  <c r="V278" i="1" s="1"/>
  <c r="U227" i="1"/>
  <c r="U277" i="1" s="1"/>
  <c r="U278" i="1" s="1"/>
  <c r="T151" i="1"/>
  <c r="AB151" i="1"/>
  <c r="AU151" i="1" s="1"/>
  <c r="AA151" i="1"/>
  <c r="AB185" i="1"/>
  <c r="AU185" i="1" s="1"/>
  <c r="T185" i="1"/>
  <c r="AA185" i="1"/>
  <c r="S256" i="1"/>
  <c r="R256" i="1"/>
  <c r="AP256" i="1" s="1"/>
  <c r="X256" i="1"/>
  <c r="AQ256" i="1" s="1"/>
  <c r="Q256" i="1"/>
  <c r="AO256" i="1" s="1"/>
  <c r="V923" i="1"/>
  <c r="T917" i="1"/>
  <c r="AA917" i="1"/>
  <c r="AB917" i="1"/>
  <c r="Q914" i="1"/>
  <c r="S914" i="1"/>
  <c r="P916" i="1"/>
  <c r="X914" i="1"/>
  <c r="R914" i="1"/>
  <c r="V916" i="1"/>
  <c r="AB854" i="1"/>
  <c r="AU854" i="1" s="1"/>
  <c r="T854" i="1"/>
  <c r="AA854" i="1"/>
  <c r="R860" i="1"/>
  <c r="AP860" i="1" s="1"/>
  <c r="S860" i="1"/>
  <c r="Q860" i="1"/>
  <c r="AO860" i="1" s="1"/>
  <c r="X860" i="1"/>
  <c r="AQ860" i="1" s="1"/>
  <c r="X798" i="1"/>
  <c r="AQ798" i="1" s="1"/>
  <c r="R798" i="1"/>
  <c r="AP798" i="1" s="1"/>
  <c r="Q798" i="1"/>
  <c r="AO798" i="1" s="1"/>
  <c r="S798" i="1"/>
  <c r="Q805" i="1"/>
  <c r="AO805" i="1" s="1"/>
  <c r="X805" i="1"/>
  <c r="AQ805" i="1" s="1"/>
  <c r="S805" i="1"/>
  <c r="R805" i="1"/>
  <c r="AP805" i="1" s="1"/>
  <c r="R807" i="1"/>
  <c r="AP807" i="1" s="1"/>
  <c r="S807" i="1"/>
  <c r="Q807" i="1"/>
  <c r="AO807" i="1" s="1"/>
  <c r="X807" i="1"/>
  <c r="AQ807" i="1" s="1"/>
  <c r="AA855" i="1"/>
  <c r="T855" i="1"/>
  <c r="AB855" i="1"/>
  <c r="AU855" i="1" s="1"/>
  <c r="R827" i="1"/>
  <c r="AP827" i="1" s="1"/>
  <c r="S827" i="1"/>
  <c r="X827" i="1"/>
  <c r="AQ827" i="1" s="1"/>
  <c r="Q827" i="1"/>
  <c r="AO827" i="1" s="1"/>
  <c r="S779" i="1"/>
  <c r="Q779" i="1"/>
  <c r="AO779" i="1" s="1"/>
  <c r="X779" i="1"/>
  <c r="AQ779" i="1" s="1"/>
  <c r="R779" i="1"/>
  <c r="AP779" i="1" s="1"/>
  <c r="T742" i="1"/>
  <c r="AB742" i="1"/>
  <c r="AU742" i="1" s="1"/>
  <c r="AA742" i="1"/>
  <c r="T834" i="1"/>
  <c r="AB834" i="1"/>
  <c r="AU834" i="1" s="1"/>
  <c r="AA834" i="1"/>
  <c r="R806" i="1"/>
  <c r="AP806" i="1" s="1"/>
  <c r="X806" i="1"/>
  <c r="AQ806" i="1" s="1"/>
  <c r="S806" i="1"/>
  <c r="Q806" i="1"/>
  <c r="AO806" i="1" s="1"/>
  <c r="S733" i="1"/>
  <c r="X733" i="1"/>
  <c r="AQ733" i="1" s="1"/>
  <c r="R733" i="1"/>
  <c r="AP733" i="1" s="1"/>
  <c r="Q733" i="1"/>
  <c r="AO733" i="1" s="1"/>
  <c r="T731" i="1"/>
  <c r="AA731" i="1"/>
  <c r="AB731" i="1"/>
  <c r="AU731" i="1" s="1"/>
  <c r="AB802" i="1"/>
  <c r="AU802" i="1" s="1"/>
  <c r="AA802" i="1"/>
  <c r="T802" i="1"/>
  <c r="Q711" i="1"/>
  <c r="AO711" i="1" s="1"/>
  <c r="X711" i="1"/>
  <c r="AQ711" i="1" s="1"/>
  <c r="S711" i="1"/>
  <c r="R711" i="1"/>
  <c r="AP711" i="1" s="1"/>
  <c r="AB832" i="1"/>
  <c r="AU832" i="1" s="1"/>
  <c r="T832" i="1"/>
  <c r="AA832" i="1"/>
  <c r="R659" i="1"/>
  <c r="AP659" i="1" s="1"/>
  <c r="Q659" i="1"/>
  <c r="AO659" i="1" s="1"/>
  <c r="X659" i="1"/>
  <c r="AQ659" i="1" s="1"/>
  <c r="S659" i="1"/>
  <c r="AB717" i="1"/>
  <c r="AU717" i="1" s="1"/>
  <c r="AA717" i="1"/>
  <c r="T717" i="1"/>
  <c r="M614" i="1"/>
  <c r="M632" i="1" s="1"/>
  <c r="S675" i="1"/>
  <c r="R675" i="1"/>
  <c r="AP675" i="1" s="1"/>
  <c r="X675" i="1"/>
  <c r="AQ675" i="1" s="1"/>
  <c r="Q675" i="1"/>
  <c r="AO675" i="1" s="1"/>
  <c r="Q682" i="1"/>
  <c r="AO682" i="1" s="1"/>
  <c r="X682" i="1"/>
  <c r="AQ682" i="1" s="1"/>
  <c r="S682" i="1"/>
  <c r="R682" i="1"/>
  <c r="AP682" i="1" s="1"/>
  <c r="S656" i="1"/>
  <c r="R656" i="1"/>
  <c r="AP656" i="1" s="1"/>
  <c r="Q656" i="1"/>
  <c r="AO656" i="1" s="1"/>
  <c r="X656" i="1"/>
  <c r="AQ656" i="1" s="1"/>
  <c r="T600" i="1"/>
  <c r="AB600" i="1"/>
  <c r="AU600" i="1" s="1"/>
  <c r="AA600" i="1"/>
  <c r="S597" i="1"/>
  <c r="R597" i="1"/>
  <c r="AP597" i="1" s="1"/>
  <c r="Q597" i="1"/>
  <c r="AO597" i="1" s="1"/>
  <c r="X597" i="1"/>
  <c r="AQ597" i="1" s="1"/>
  <c r="Q638" i="1"/>
  <c r="P639" i="1"/>
  <c r="S638" i="1"/>
  <c r="R638" i="1"/>
  <c r="X638" i="1"/>
  <c r="R601" i="1"/>
  <c r="AP601" i="1" s="1"/>
  <c r="X601" i="1"/>
  <c r="AQ601" i="1" s="1"/>
  <c r="S601" i="1"/>
  <c r="Q601" i="1"/>
  <c r="AO601" i="1" s="1"/>
  <c r="AT612" i="1"/>
  <c r="AG612" i="1"/>
  <c r="AZ612" i="1" s="1"/>
  <c r="AB537" i="1"/>
  <c r="AU537" i="1" s="1"/>
  <c r="AA537" i="1"/>
  <c r="T537" i="1"/>
  <c r="X513" i="1"/>
  <c r="AQ513" i="1" s="1"/>
  <c r="S513" i="1"/>
  <c r="Q513" i="1"/>
  <c r="AO513" i="1" s="1"/>
  <c r="R513" i="1"/>
  <c r="AP513" i="1" s="1"/>
  <c r="T619" i="1"/>
  <c r="AB619" i="1"/>
  <c r="AU619" i="1" s="1"/>
  <c r="AA619" i="1"/>
  <c r="S482" i="1"/>
  <c r="R482" i="1"/>
  <c r="AP482" i="1" s="1"/>
  <c r="Q482" i="1"/>
  <c r="AO482" i="1" s="1"/>
  <c r="X482" i="1"/>
  <c r="AQ482" i="1" s="1"/>
  <c r="S641" i="1"/>
  <c r="R641" i="1"/>
  <c r="AP641" i="1" s="1"/>
  <c r="Q641" i="1"/>
  <c r="AO641" i="1" s="1"/>
  <c r="X641" i="1"/>
  <c r="AQ641" i="1" s="1"/>
  <c r="S555" i="1"/>
  <c r="R555" i="1"/>
  <c r="AP555" i="1" s="1"/>
  <c r="Q555" i="1"/>
  <c r="AO555" i="1" s="1"/>
  <c r="X555" i="1"/>
  <c r="AQ555" i="1" s="1"/>
  <c r="R468" i="1"/>
  <c r="AP468" i="1" s="1"/>
  <c r="X468" i="1"/>
  <c r="AQ468" i="1" s="1"/>
  <c r="S468" i="1"/>
  <c r="Q468" i="1"/>
  <c r="AO468" i="1" s="1"/>
  <c r="T558" i="1"/>
  <c r="AB558" i="1"/>
  <c r="AU558" i="1" s="1"/>
  <c r="AA558" i="1"/>
  <c r="T507" i="1"/>
  <c r="AB507" i="1"/>
  <c r="AU507" i="1" s="1"/>
  <c r="AA507" i="1"/>
  <c r="AA583" i="1"/>
  <c r="T583" i="1"/>
  <c r="AB583" i="1"/>
  <c r="AU583" i="1" s="1"/>
  <c r="AG545" i="1"/>
  <c r="AZ545" i="1" s="1"/>
  <c r="S499" i="1"/>
  <c r="Q499" i="1"/>
  <c r="AO499" i="1" s="1"/>
  <c r="X499" i="1"/>
  <c r="AQ499" i="1" s="1"/>
  <c r="R499" i="1"/>
  <c r="AP499" i="1" s="1"/>
  <c r="Q467" i="1"/>
  <c r="AO467" i="1" s="1"/>
  <c r="X467" i="1"/>
  <c r="AQ467" i="1" s="1"/>
  <c r="R467" i="1"/>
  <c r="AP467" i="1" s="1"/>
  <c r="S467" i="1"/>
  <c r="S452" i="1"/>
  <c r="R452" i="1"/>
  <c r="AP452" i="1" s="1"/>
  <c r="Q452" i="1"/>
  <c r="AO452" i="1" s="1"/>
  <c r="X452" i="1"/>
  <c r="AQ452" i="1" s="1"/>
  <c r="Q412" i="1"/>
  <c r="AO412" i="1" s="1"/>
  <c r="X412" i="1"/>
  <c r="AQ412" i="1" s="1"/>
  <c r="R412" i="1"/>
  <c r="AP412" i="1" s="1"/>
  <c r="S412" i="1"/>
  <c r="AT487" i="1"/>
  <c r="AG487" i="1"/>
  <c r="AZ487" i="1" s="1"/>
  <c r="Q473" i="1"/>
  <c r="AO473" i="1" s="1"/>
  <c r="X473" i="1"/>
  <c r="AQ473" i="1" s="1"/>
  <c r="S473" i="1"/>
  <c r="R473" i="1"/>
  <c r="AP473" i="1" s="1"/>
  <c r="Q419" i="1"/>
  <c r="AO419" i="1" s="1"/>
  <c r="X419" i="1"/>
  <c r="AQ419" i="1" s="1"/>
  <c r="S419" i="1"/>
  <c r="R419" i="1"/>
  <c r="AP419" i="1" s="1"/>
  <c r="AA626" i="1"/>
  <c r="T626" i="1"/>
  <c r="AB626" i="1"/>
  <c r="AU626" i="1" s="1"/>
  <c r="X438" i="1"/>
  <c r="AQ438" i="1" s="1"/>
  <c r="S438" i="1"/>
  <c r="R438" i="1"/>
  <c r="AP438" i="1" s="1"/>
  <c r="Q438" i="1"/>
  <c r="AO438" i="1" s="1"/>
  <c r="AB561" i="1"/>
  <c r="AU561" i="1" s="1"/>
  <c r="AA561" i="1"/>
  <c r="T561" i="1"/>
  <c r="AB397" i="1"/>
  <c r="AA397" i="1"/>
  <c r="T397" i="1"/>
  <c r="AB376" i="1"/>
  <c r="AU376" i="1" s="1"/>
  <c r="S556" i="1"/>
  <c r="R556" i="1"/>
  <c r="AP556" i="1" s="1"/>
  <c r="Q556" i="1"/>
  <c r="AO556" i="1" s="1"/>
  <c r="X556" i="1"/>
  <c r="AQ556" i="1" s="1"/>
  <c r="AG291" i="1"/>
  <c r="AZ291" i="1" s="1"/>
  <c r="AO260" i="1"/>
  <c r="Y260" i="1"/>
  <c r="T455" i="1"/>
  <c r="AB455" i="1"/>
  <c r="AU455" i="1" s="1"/>
  <c r="AA455" i="1"/>
  <c r="X288" i="1"/>
  <c r="AQ288" i="1" s="1"/>
  <c r="S288" i="1"/>
  <c r="Q288" i="1"/>
  <c r="AO288" i="1" s="1"/>
  <c r="R288" i="1"/>
  <c r="AP288" i="1" s="1"/>
  <c r="AA414" i="1"/>
  <c r="AB414" i="1"/>
  <c r="AU414" i="1" s="1"/>
  <c r="T414" i="1"/>
  <c r="T378" i="1"/>
  <c r="AB378" i="1"/>
  <c r="AU378" i="1" s="1"/>
  <c r="AA378" i="1"/>
  <c r="AT336" i="1"/>
  <c r="AG336" i="1"/>
  <c r="AZ336" i="1" s="1"/>
  <c r="V357" i="1"/>
  <c r="S474" i="1"/>
  <c r="R474" i="1"/>
  <c r="AP474" i="1" s="1"/>
  <c r="X474" i="1"/>
  <c r="AQ474" i="1" s="1"/>
  <c r="Q474" i="1"/>
  <c r="AO474" i="1" s="1"/>
  <c r="X434" i="1"/>
  <c r="AQ434" i="1" s="1"/>
  <c r="S434" i="1"/>
  <c r="R434" i="1"/>
  <c r="AP434" i="1" s="1"/>
  <c r="Q434" i="1"/>
  <c r="AO434" i="1" s="1"/>
  <c r="AA372" i="1"/>
  <c r="AB372" i="1"/>
  <c r="T372" i="1"/>
  <c r="S385" i="1"/>
  <c r="S272" i="1"/>
  <c r="R272" i="1"/>
  <c r="AP272" i="1" s="1"/>
  <c r="Q272" i="1"/>
  <c r="AO272" i="1" s="1"/>
  <c r="X272" i="1"/>
  <c r="AQ272" i="1" s="1"/>
  <c r="T432" i="1"/>
  <c r="AB432" i="1"/>
  <c r="AU432" i="1" s="1"/>
  <c r="AA432" i="1"/>
  <c r="S343" i="1"/>
  <c r="R343" i="1"/>
  <c r="AP343" i="1" s="1"/>
  <c r="Q343" i="1"/>
  <c r="AO343" i="1" s="1"/>
  <c r="X343" i="1"/>
  <c r="AQ343" i="1" s="1"/>
  <c r="X259" i="1"/>
  <c r="AQ259" i="1" s="1"/>
  <c r="S259" i="1"/>
  <c r="R259" i="1"/>
  <c r="AP259" i="1" s="1"/>
  <c r="Q259" i="1"/>
  <c r="AO259" i="1" s="1"/>
  <c r="T241" i="1"/>
  <c r="AB241" i="1"/>
  <c r="AU241" i="1" s="1"/>
  <c r="AA241" i="1"/>
  <c r="AO140" i="1"/>
  <c r="O74" i="1"/>
  <c r="S523" i="1"/>
  <c r="R523" i="1"/>
  <c r="AP523" i="1" s="1"/>
  <c r="Q523" i="1"/>
  <c r="AO523" i="1" s="1"/>
  <c r="X523" i="1"/>
  <c r="AQ523" i="1" s="1"/>
  <c r="V82" i="1"/>
  <c r="V83" i="1" s="1"/>
  <c r="T118" i="1"/>
  <c r="AB118" i="1"/>
  <c r="AU118" i="1" s="1"/>
  <c r="AA118" i="1"/>
  <c r="U50" i="1"/>
  <c r="R20" i="1"/>
  <c r="AP20" i="1" s="1"/>
  <c r="X20" i="1"/>
  <c r="AQ20" i="1" s="1"/>
  <c r="Q20" i="1"/>
  <c r="AO20" i="1" s="1"/>
  <c r="S20" i="1"/>
  <c r="AG12" i="1"/>
  <c r="AZ12" i="1" s="1"/>
  <c r="X216" i="1"/>
  <c r="P217" i="1"/>
  <c r="S216" i="1"/>
  <c r="R216" i="1"/>
  <c r="Q216" i="1"/>
  <c r="S68" i="1"/>
  <c r="R68" i="1"/>
  <c r="AP68" i="1" s="1"/>
  <c r="Q68" i="1"/>
  <c r="AO68" i="1" s="1"/>
  <c r="X68" i="1"/>
  <c r="AQ68" i="1" s="1"/>
  <c r="U433" i="1"/>
  <c r="AO56" i="1"/>
  <c r="W936" i="1"/>
  <c r="X24" i="1"/>
  <c r="AQ24" i="1" s="1"/>
  <c r="S24" i="1"/>
  <c r="Q24" i="1"/>
  <c r="AO24" i="1" s="1"/>
  <c r="R24" i="1"/>
  <c r="AP24" i="1" s="1"/>
  <c r="AU332" i="1"/>
  <c r="AB183" i="1"/>
  <c r="AU183" i="1" s="1"/>
  <c r="AA183" i="1"/>
  <c r="T183" i="1"/>
  <c r="T114" i="1"/>
  <c r="AB114" i="1"/>
  <c r="AU114" i="1" s="1"/>
  <c r="AA114" i="1"/>
  <c r="AR74" i="1"/>
  <c r="T168" i="1"/>
  <c r="AB168" i="1"/>
  <c r="AU168" i="1" s="1"/>
  <c r="AA168" i="1"/>
  <c r="S58" i="1"/>
  <c r="R58" i="1"/>
  <c r="AP58" i="1" s="1"/>
  <c r="AF58" i="1"/>
  <c r="AY58" i="1" s="1"/>
  <c r="Q58" i="1"/>
  <c r="AO58" i="1" s="1"/>
  <c r="X58" i="1"/>
  <c r="AQ58" i="1" s="1"/>
  <c r="R30" i="1"/>
  <c r="AP30" i="1" s="1"/>
  <c r="Q30" i="1"/>
  <c r="AO30" i="1" s="1"/>
  <c r="X30" i="1"/>
  <c r="AQ30" i="1" s="1"/>
  <c r="S30" i="1"/>
  <c r="T109" i="1"/>
  <c r="AB109" i="1"/>
  <c r="AU109" i="1" s="1"/>
  <c r="AA109" i="1"/>
  <c r="K134" i="1"/>
  <c r="R27" i="1"/>
  <c r="AP27" i="1" s="1"/>
  <c r="Q27" i="1"/>
  <c r="AO27" i="1" s="1"/>
  <c r="X27" i="1"/>
  <c r="AQ27" i="1" s="1"/>
  <c r="S27" i="1"/>
  <c r="U218" i="1"/>
  <c r="AG205" i="1"/>
  <c r="AZ205" i="1" s="1"/>
  <c r="S15" i="1"/>
  <c r="AF15" i="1"/>
  <c r="R15" i="1"/>
  <c r="AP15" i="1" s="1"/>
  <c r="X15" i="1"/>
  <c r="AQ15" i="1" s="1"/>
  <c r="Q15" i="1"/>
  <c r="AO15" i="1" s="1"/>
  <c r="AS930" i="1"/>
  <c r="AR930" i="1"/>
  <c r="AG14" i="1" l="1"/>
  <c r="AZ14" i="1" s="1"/>
  <c r="O36" i="1"/>
  <c r="S66" i="1"/>
  <c r="AQ385" i="1"/>
  <c r="T676" i="1"/>
  <c r="X7" i="1"/>
  <c r="AG480" i="1"/>
  <c r="AZ480" i="1" s="1"/>
  <c r="AC938" i="1"/>
  <c r="AW932" i="1"/>
  <c r="Q7" i="1"/>
  <c r="U605" i="1"/>
  <c r="AG345" i="1"/>
  <c r="AZ345" i="1" s="1"/>
  <c r="AG715" i="1"/>
  <c r="AZ715" i="1" s="1"/>
  <c r="AA856" i="1"/>
  <c r="R7" i="1"/>
  <c r="AG617" i="1"/>
  <c r="AZ617" i="1" s="1"/>
  <c r="AG311" i="1"/>
  <c r="AZ311" i="1" s="1"/>
  <c r="AG187" i="1"/>
  <c r="AZ187" i="1" s="1"/>
  <c r="AT586" i="1"/>
  <c r="AG586" i="1"/>
  <c r="AZ586" i="1" s="1"/>
  <c r="O614" i="1"/>
  <c r="O632" i="1" s="1"/>
  <c r="T747" i="1"/>
  <c r="AV932" i="1"/>
  <c r="S7" i="1"/>
  <c r="AB7" i="1" s="1"/>
  <c r="AA566" i="1"/>
  <c r="V74" i="1"/>
  <c r="AB797" i="1"/>
  <c r="AU797" i="1" s="1"/>
  <c r="AA903" i="1"/>
  <c r="T903" i="1"/>
  <c r="AB903" i="1"/>
  <c r="AU903" i="1" s="1"/>
  <c r="AV936" i="1"/>
  <c r="AA578" i="1"/>
  <c r="AB578" i="1"/>
  <c r="AU578" i="1" s="1"/>
  <c r="T578" i="1"/>
  <c r="T261" i="1"/>
  <c r="AA261" i="1"/>
  <c r="AB261" i="1"/>
  <c r="AU261" i="1" s="1"/>
  <c r="AB484" i="1"/>
  <c r="AU484" i="1" s="1"/>
  <c r="AA484" i="1"/>
  <c r="T484" i="1"/>
  <c r="AB653" i="1"/>
  <c r="AU653" i="1" s="1"/>
  <c r="T653" i="1"/>
  <c r="AA653" i="1"/>
  <c r="AA652" i="1"/>
  <c r="AB652" i="1"/>
  <c r="AU652" i="1" s="1"/>
  <c r="T652" i="1"/>
  <c r="AB248" i="1"/>
  <c r="AU248" i="1" s="1"/>
  <c r="T248" i="1"/>
  <c r="AA248" i="1"/>
  <c r="AP604" i="1"/>
  <c r="AA376" i="1"/>
  <c r="AG376" i="1" s="1"/>
  <c r="AZ376" i="1" s="1"/>
  <c r="P605" i="1"/>
  <c r="AB164" i="1"/>
  <c r="AU164" i="1" s="1"/>
  <c r="AB856" i="1"/>
  <c r="AU856" i="1" s="1"/>
  <c r="X385" i="1"/>
  <c r="Q338" i="1"/>
  <c r="R66" i="1"/>
  <c r="AD938" i="1"/>
  <c r="AA404" i="1"/>
  <c r="AT404" i="1" s="1"/>
  <c r="T739" i="1"/>
  <c r="AA739" i="1"/>
  <c r="AB739" i="1"/>
  <c r="AU739" i="1" s="1"/>
  <c r="T400" i="1"/>
  <c r="AB400" i="1"/>
  <c r="AU400" i="1" s="1"/>
  <c r="AA400" i="1"/>
  <c r="AA179" i="1"/>
  <c r="AB179" i="1"/>
  <c r="AU179" i="1" s="1"/>
  <c r="T179" i="1"/>
  <c r="T799" i="1"/>
  <c r="AB799" i="1"/>
  <c r="AU799" i="1" s="1"/>
  <c r="AA799" i="1"/>
  <c r="T257" i="1"/>
  <c r="AA257" i="1"/>
  <c r="AB257" i="1"/>
  <c r="AU257" i="1" s="1"/>
  <c r="AA884" i="1"/>
  <c r="T884" i="1"/>
  <c r="AB884" i="1"/>
  <c r="AU884" i="1" s="1"/>
  <c r="AT773" i="1"/>
  <c r="AG773" i="1"/>
  <c r="AZ773" i="1" s="1"/>
  <c r="T141" i="1"/>
  <c r="AA141" i="1"/>
  <c r="AB141" i="1"/>
  <c r="AU141" i="1" s="1"/>
  <c r="AO338" i="1"/>
  <c r="T156" i="1"/>
  <c r="AA156" i="1"/>
  <c r="AB156" i="1"/>
  <c r="AU156" i="1" s="1"/>
  <c r="AB630" i="1"/>
  <c r="AU630" i="1" s="1"/>
  <c r="T630" i="1"/>
  <c r="AA630" i="1"/>
  <c r="AA759" i="1"/>
  <c r="T759" i="1"/>
  <c r="AB759" i="1"/>
  <c r="AU759" i="1" s="1"/>
  <c r="AP385" i="1"/>
  <c r="AA747" i="1"/>
  <c r="AP66" i="1"/>
  <c r="AB404" i="1"/>
  <c r="AU404" i="1" s="1"/>
  <c r="S80" i="1"/>
  <c r="X80" i="1"/>
  <c r="P82" i="1"/>
  <c r="P83" i="1" s="1"/>
  <c r="R80" i="1"/>
  <c r="Q80" i="1"/>
  <c r="AG190" i="1"/>
  <c r="AZ190" i="1" s="1"/>
  <c r="AT488" i="1"/>
  <c r="AG488" i="1"/>
  <c r="AZ488" i="1" s="1"/>
  <c r="AB6" i="1"/>
  <c r="AU6" i="1" s="1"/>
  <c r="AA6" i="1"/>
  <c r="T6" i="1"/>
  <c r="T472" i="1"/>
  <c r="AA472" i="1"/>
  <c r="AB472" i="1"/>
  <c r="AU472" i="1" s="1"/>
  <c r="AB655" i="1"/>
  <c r="AU655" i="1" s="1"/>
  <c r="T655" i="1"/>
  <c r="AA655" i="1"/>
  <c r="AT496" i="1"/>
  <c r="AG496" i="1"/>
  <c r="AZ496" i="1" s="1"/>
  <c r="AB769" i="1"/>
  <c r="AU769" i="1" s="1"/>
  <c r="T769" i="1"/>
  <c r="AA769" i="1"/>
  <c r="AA19" i="1"/>
  <c r="T19" i="1"/>
  <c r="AB19" i="1"/>
  <c r="AU19" i="1" s="1"/>
  <c r="T149" i="1"/>
  <c r="AA149" i="1"/>
  <c r="AB149" i="1"/>
  <c r="AU149" i="1" s="1"/>
  <c r="T175" i="1"/>
  <c r="AA175" i="1"/>
  <c r="AB175" i="1"/>
  <c r="AU175" i="1" s="1"/>
  <c r="AA383" i="1"/>
  <c r="AB383" i="1"/>
  <c r="AU383" i="1" s="1"/>
  <c r="T383" i="1"/>
  <c r="T410" i="1"/>
  <c r="AA410" i="1"/>
  <c r="AB410" i="1"/>
  <c r="AU410" i="1" s="1"/>
  <c r="P863" i="1"/>
  <c r="X862" i="1"/>
  <c r="R862" i="1"/>
  <c r="Q862" i="1"/>
  <c r="S862" i="1"/>
  <c r="AA754" i="1"/>
  <c r="AB754" i="1"/>
  <c r="AU754" i="1" s="1"/>
  <c r="T754" i="1"/>
  <c r="R918" i="1"/>
  <c r="X918" i="1"/>
  <c r="AQ918" i="1" s="1"/>
  <c r="AQ923" i="1" s="1"/>
  <c r="Q918" i="1"/>
  <c r="AO918" i="1" s="1"/>
  <c r="AO923" i="1" s="1"/>
  <c r="S918" i="1"/>
  <c r="P923" i="1"/>
  <c r="P924" i="1" s="1"/>
  <c r="V924" i="1"/>
  <c r="P134" i="1"/>
  <c r="R385" i="1"/>
  <c r="V193" i="1"/>
  <c r="O315" i="1"/>
  <c r="AP338" i="1"/>
  <c r="AV937" i="1"/>
  <c r="AQ157" i="1"/>
  <c r="AB148" i="1"/>
  <c r="AU148" i="1" s="1"/>
  <c r="T148" i="1"/>
  <c r="AA148" i="1"/>
  <c r="AB621" i="1"/>
  <c r="AU621" i="1" s="1"/>
  <c r="AA621" i="1"/>
  <c r="T621" i="1"/>
  <c r="AA406" i="1"/>
  <c r="T406" i="1"/>
  <c r="AB406" i="1"/>
  <c r="AU406" i="1" s="1"/>
  <c r="T651" i="1"/>
  <c r="AB651" i="1"/>
  <c r="AU651" i="1" s="1"/>
  <c r="AA651" i="1"/>
  <c r="AA654" i="1"/>
  <c r="T654" i="1"/>
  <c r="AB654" i="1"/>
  <c r="AU654" i="1" s="1"/>
  <c r="AB738" i="1"/>
  <c r="AU738" i="1" s="1"/>
  <c r="AA738" i="1"/>
  <c r="T738" i="1"/>
  <c r="AB354" i="1"/>
  <c r="AU354" i="1" s="1"/>
  <c r="AA354" i="1"/>
  <c r="T354" i="1"/>
  <c r="S287" i="1"/>
  <c r="X287" i="1"/>
  <c r="AQ287" i="1" s="1"/>
  <c r="Q287" i="1"/>
  <c r="AO287" i="1" s="1"/>
  <c r="R287" i="1"/>
  <c r="AP287" i="1" s="1"/>
  <c r="AB407" i="1"/>
  <c r="AU407" i="1" s="1"/>
  <c r="AA407" i="1"/>
  <c r="T407" i="1"/>
  <c r="AB265" i="1"/>
  <c r="AU265" i="1" s="1"/>
  <c r="AA265" i="1"/>
  <c r="T265" i="1"/>
  <c r="AA848" i="1"/>
  <c r="AB848" i="1"/>
  <c r="AU848" i="1" s="1"/>
  <c r="T848" i="1"/>
  <c r="AA625" i="1"/>
  <c r="AB625" i="1"/>
  <c r="AU625" i="1" s="1"/>
  <c r="T625" i="1"/>
  <c r="P293" i="1"/>
  <c r="P294" i="1" s="1"/>
  <c r="AA24" i="1"/>
  <c r="T24" i="1"/>
  <c r="AB24" i="1"/>
  <c r="AU24" i="1" s="1"/>
  <c r="AB123" i="1"/>
  <c r="AU123" i="1" s="1"/>
  <c r="AA123" i="1"/>
  <c r="T123" i="1"/>
  <c r="AT566" i="1"/>
  <c r="AG566" i="1"/>
  <c r="AZ566" i="1" s="1"/>
  <c r="S904" i="1"/>
  <c r="AB899" i="1"/>
  <c r="AA899" i="1"/>
  <c r="T899" i="1"/>
  <c r="AA268" i="1"/>
  <c r="T268" i="1"/>
  <c r="AB268" i="1"/>
  <c r="AU268" i="1" s="1"/>
  <c r="AB368" i="1"/>
  <c r="AU368" i="1" s="1"/>
  <c r="T368" i="1"/>
  <c r="AA368" i="1"/>
  <c r="AB247" i="1"/>
  <c r="AU247" i="1" s="1"/>
  <c r="AA247" i="1"/>
  <c r="T247" i="1"/>
  <c r="AA128" i="1"/>
  <c r="T128" i="1"/>
  <c r="AB128" i="1"/>
  <c r="AU128" i="1" s="1"/>
  <c r="T91" i="1"/>
  <c r="AB91" i="1"/>
  <c r="AU91" i="1" s="1"/>
  <c r="AA91" i="1"/>
  <c r="AA184" i="1"/>
  <c r="T184" i="1"/>
  <c r="AB184" i="1"/>
  <c r="AU184" i="1" s="1"/>
  <c r="AT758" i="1"/>
  <c r="AG758" i="1"/>
  <c r="AZ758" i="1" s="1"/>
  <c r="AB201" i="1"/>
  <c r="AU201" i="1" s="1"/>
  <c r="AA201" i="1"/>
  <c r="T201" i="1"/>
  <c r="AT418" i="1"/>
  <c r="AG418" i="1"/>
  <c r="AZ418" i="1" s="1"/>
  <c r="AT676" i="1"/>
  <c r="AG676" i="1"/>
  <c r="AZ676" i="1" s="1"/>
  <c r="AB749" i="1"/>
  <c r="AU749" i="1" s="1"/>
  <c r="AA749" i="1"/>
  <c r="T749" i="1"/>
  <c r="AA111" i="1"/>
  <c r="T111" i="1"/>
  <c r="AB111" i="1"/>
  <c r="AU111" i="1" s="1"/>
  <c r="T453" i="1"/>
  <c r="AB453" i="1"/>
  <c r="AU453" i="1" s="1"/>
  <c r="AA453" i="1"/>
  <c r="AA254" i="1"/>
  <c r="AB254" i="1"/>
  <c r="AU254" i="1" s="1"/>
  <c r="T254" i="1"/>
  <c r="AA658" i="1"/>
  <c r="AB658" i="1"/>
  <c r="AU658" i="1" s="1"/>
  <c r="T658" i="1"/>
  <c r="AB706" i="1"/>
  <c r="AU706" i="1" s="1"/>
  <c r="AA706" i="1"/>
  <c r="T706" i="1"/>
  <c r="Q44" i="1"/>
  <c r="AO42" i="1"/>
  <c r="AO44" i="1" s="1"/>
  <c r="T874" i="1"/>
  <c r="AB874" i="1"/>
  <c r="AU874" i="1" s="1"/>
  <c r="AA874" i="1"/>
  <c r="AT168" i="1"/>
  <c r="AG168" i="1"/>
  <c r="AZ168" i="1" s="1"/>
  <c r="AT414" i="1"/>
  <c r="AG414" i="1"/>
  <c r="AZ414" i="1" s="1"/>
  <c r="AB482" i="1"/>
  <c r="AU482" i="1" s="1"/>
  <c r="AA482" i="1"/>
  <c r="T482" i="1"/>
  <c r="X215" i="1"/>
  <c r="AQ214" i="1"/>
  <c r="AQ215" i="1" s="1"/>
  <c r="AA501" i="1"/>
  <c r="T501" i="1"/>
  <c r="AB501" i="1"/>
  <c r="AU501" i="1" s="1"/>
  <c r="AT796" i="1"/>
  <c r="AG796" i="1"/>
  <c r="AZ796" i="1" s="1"/>
  <c r="AA724" i="1"/>
  <c r="T724" i="1"/>
  <c r="AB724" i="1"/>
  <c r="AU724" i="1" s="1"/>
  <c r="AT164" i="1"/>
  <c r="AG164" i="1"/>
  <c r="AZ164" i="1" s="1"/>
  <c r="AT251" i="1"/>
  <c r="AG251" i="1"/>
  <c r="AZ251" i="1" s="1"/>
  <c r="V605" i="1"/>
  <c r="AT436" i="1"/>
  <c r="AG436" i="1"/>
  <c r="AZ436" i="1" s="1"/>
  <c r="AB113" i="1"/>
  <c r="AU113" i="1" s="1"/>
  <c r="AA113" i="1"/>
  <c r="T113" i="1"/>
  <c r="AA877" i="1"/>
  <c r="AB877" i="1"/>
  <c r="AU877" i="1" s="1"/>
  <c r="T877" i="1"/>
  <c r="AT109" i="1"/>
  <c r="AG109" i="1"/>
  <c r="AZ109" i="1" s="1"/>
  <c r="T523" i="1"/>
  <c r="AB523" i="1"/>
  <c r="AU523" i="1" s="1"/>
  <c r="AA523" i="1"/>
  <c r="T343" i="1"/>
  <c r="AB343" i="1"/>
  <c r="AU343" i="1" s="1"/>
  <c r="AA343" i="1"/>
  <c r="AB272" i="1"/>
  <c r="AU272" i="1" s="1"/>
  <c r="AA272" i="1"/>
  <c r="T272" i="1"/>
  <c r="AA434" i="1"/>
  <c r="T434" i="1"/>
  <c r="AB434" i="1"/>
  <c r="AU434" i="1" s="1"/>
  <c r="Y277" i="1"/>
  <c r="AR260" i="1"/>
  <c r="AR277" i="1" s="1"/>
  <c r="AT561" i="1"/>
  <c r="AG561" i="1"/>
  <c r="AZ561" i="1" s="1"/>
  <c r="AA473" i="1"/>
  <c r="T473" i="1"/>
  <c r="AB473" i="1"/>
  <c r="AU473" i="1" s="1"/>
  <c r="T467" i="1"/>
  <c r="AA467" i="1"/>
  <c r="AB467" i="1"/>
  <c r="AU467" i="1" s="1"/>
  <c r="AT619" i="1"/>
  <c r="AG619" i="1"/>
  <c r="AZ619" i="1" s="1"/>
  <c r="AT832" i="1"/>
  <c r="AG832" i="1"/>
  <c r="AZ832" i="1" s="1"/>
  <c r="T807" i="1"/>
  <c r="AA807" i="1"/>
  <c r="AB807" i="1"/>
  <c r="AU807" i="1" s="1"/>
  <c r="AB798" i="1"/>
  <c r="AU798" i="1" s="1"/>
  <c r="T798" i="1"/>
  <c r="AA798" i="1"/>
  <c r="AT541" i="1"/>
  <c r="AG541" i="1"/>
  <c r="AZ541" i="1" s="1"/>
  <c r="T96" i="1"/>
  <c r="AB96" i="1"/>
  <c r="AU96" i="1" s="1"/>
  <c r="AA96" i="1"/>
  <c r="AO214" i="1"/>
  <c r="AO215" i="1" s="1"/>
  <c r="Q215" i="1"/>
  <c r="AP89" i="1"/>
  <c r="AP106" i="1" s="1"/>
  <c r="R106" i="1"/>
  <c r="AZ332" i="1"/>
  <c r="T224" i="1"/>
  <c r="T226" i="1" s="1"/>
  <c r="S226" i="1"/>
  <c r="AB224" i="1"/>
  <c r="AA224" i="1"/>
  <c r="AP323" i="1"/>
  <c r="AP325" i="1" s="1"/>
  <c r="R325" i="1"/>
  <c r="AB494" i="1"/>
  <c r="AU494" i="1" s="1"/>
  <c r="AA494" i="1"/>
  <c r="T494" i="1"/>
  <c r="AB524" i="1"/>
  <c r="AU524" i="1" s="1"/>
  <c r="AA524" i="1"/>
  <c r="T524" i="1"/>
  <c r="V358" i="1"/>
  <c r="AB532" i="1"/>
  <c r="AU532" i="1" s="1"/>
  <c r="AA532" i="1"/>
  <c r="T532" i="1"/>
  <c r="AT743" i="1"/>
  <c r="AG743" i="1"/>
  <c r="AZ743" i="1" s="1"/>
  <c r="T837" i="1"/>
  <c r="AA837" i="1"/>
  <c r="AB837" i="1"/>
  <c r="AU837" i="1" s="1"/>
  <c r="AA788" i="1"/>
  <c r="T788" i="1"/>
  <c r="AB788" i="1"/>
  <c r="AU788" i="1" s="1"/>
  <c r="T250" i="1"/>
  <c r="AB250" i="1"/>
  <c r="AU250" i="1" s="1"/>
  <c r="AA250" i="1"/>
  <c r="AT596" i="1"/>
  <c r="AG596" i="1"/>
  <c r="AZ596" i="1" s="1"/>
  <c r="AT549" i="1"/>
  <c r="AG549" i="1"/>
  <c r="AZ549" i="1" s="1"/>
  <c r="AT152" i="1"/>
  <c r="AG152" i="1"/>
  <c r="AZ152" i="1" s="1"/>
  <c r="T429" i="1"/>
  <c r="T433" i="1" s="1"/>
  <c r="AB429" i="1"/>
  <c r="AA429" i="1"/>
  <c r="S433" i="1"/>
  <c r="AT104" i="1"/>
  <c r="AG104" i="1"/>
  <c r="AZ104" i="1" s="1"/>
  <c r="AT232" i="1"/>
  <c r="AG232" i="1"/>
  <c r="AZ232" i="1" s="1"/>
  <c r="AA469" i="1"/>
  <c r="T469" i="1"/>
  <c r="AB469" i="1"/>
  <c r="AU469" i="1" s="1"/>
  <c r="X357" i="1"/>
  <c r="AQ339" i="1"/>
  <c r="AQ357" i="1" s="1"/>
  <c r="AA350" i="1"/>
  <c r="T350" i="1"/>
  <c r="AB350" i="1"/>
  <c r="AU350" i="1" s="1"/>
  <c r="T421" i="1"/>
  <c r="AB421" i="1"/>
  <c r="AU421" i="1" s="1"/>
  <c r="AA421" i="1"/>
  <c r="AA505" i="1"/>
  <c r="T505" i="1"/>
  <c r="AB505" i="1"/>
  <c r="AU505" i="1" s="1"/>
  <c r="AA679" i="1"/>
  <c r="T679" i="1"/>
  <c r="AB679" i="1"/>
  <c r="AU679" i="1" s="1"/>
  <c r="AB690" i="1"/>
  <c r="AU690" i="1" s="1"/>
  <c r="AA690" i="1"/>
  <c r="T690" i="1"/>
  <c r="T713" i="1"/>
  <c r="AB713" i="1"/>
  <c r="AU713" i="1" s="1"/>
  <c r="AA713" i="1"/>
  <c r="AB772" i="1"/>
  <c r="AU772" i="1" s="1"/>
  <c r="T772" i="1"/>
  <c r="AA772" i="1"/>
  <c r="AA835" i="1"/>
  <c r="T835" i="1"/>
  <c r="AB835" i="1"/>
  <c r="AU835" i="1" s="1"/>
  <c r="AA485" i="1"/>
  <c r="T485" i="1"/>
  <c r="AB485" i="1"/>
  <c r="AU485" i="1" s="1"/>
  <c r="AA188" i="1"/>
  <c r="T188" i="1"/>
  <c r="AB188" i="1"/>
  <c r="AU188" i="1" s="1"/>
  <c r="AO45" i="1"/>
  <c r="AO49" i="1" s="1"/>
  <c r="Q49" i="1"/>
  <c r="AT337" i="1"/>
  <c r="AG337" i="1"/>
  <c r="AZ337" i="1" s="1"/>
  <c r="AT403" i="1"/>
  <c r="AG403" i="1"/>
  <c r="AZ403" i="1" s="1"/>
  <c r="AB454" i="1"/>
  <c r="AU454" i="1" s="1"/>
  <c r="T454" i="1"/>
  <c r="AA454" i="1"/>
  <c r="T531" i="1"/>
  <c r="AB531" i="1"/>
  <c r="AU531" i="1" s="1"/>
  <c r="AA531" i="1"/>
  <c r="AT461" i="1"/>
  <c r="AG461" i="1"/>
  <c r="AZ461" i="1" s="1"/>
  <c r="T642" i="1"/>
  <c r="AB642" i="1"/>
  <c r="AU642" i="1" s="1"/>
  <c r="AA642" i="1"/>
  <c r="AA591" i="1"/>
  <c r="T591" i="1"/>
  <c r="AB591" i="1"/>
  <c r="AU591" i="1" s="1"/>
  <c r="AT689" i="1"/>
  <c r="AG689" i="1"/>
  <c r="AZ689" i="1" s="1"/>
  <c r="AT691" i="1"/>
  <c r="AG691" i="1"/>
  <c r="AZ691" i="1" s="1"/>
  <c r="AT687" i="1"/>
  <c r="AG687" i="1"/>
  <c r="AZ687" i="1" s="1"/>
  <c r="AT727" i="1"/>
  <c r="AG727" i="1"/>
  <c r="AZ727" i="1" s="1"/>
  <c r="AB745" i="1"/>
  <c r="AU745" i="1" s="1"/>
  <c r="AA745" i="1"/>
  <c r="T745" i="1"/>
  <c r="AA725" i="1"/>
  <c r="AB725" i="1"/>
  <c r="AU725" i="1" s="1"/>
  <c r="T725" i="1"/>
  <c r="AT841" i="1"/>
  <c r="AG841" i="1"/>
  <c r="AZ841" i="1" s="1"/>
  <c r="AT856" i="1"/>
  <c r="AG856" i="1"/>
  <c r="AZ856" i="1" s="1"/>
  <c r="AT519" i="1"/>
  <c r="AG519" i="1"/>
  <c r="AZ519" i="1" s="1"/>
  <c r="U930" i="1"/>
  <c r="AT229" i="1"/>
  <c r="AG229" i="1"/>
  <c r="AZ229" i="1" s="1"/>
  <c r="AA808" i="1"/>
  <c r="T808" i="1"/>
  <c r="AB808" i="1"/>
  <c r="AU808" i="1" s="1"/>
  <c r="U134" i="1"/>
  <c r="AA46" i="1"/>
  <c r="T46" i="1"/>
  <c r="AB46" i="1"/>
  <c r="AU46" i="1" s="1"/>
  <c r="T309" i="1"/>
  <c r="AB309" i="1"/>
  <c r="AU309" i="1" s="1"/>
  <c r="AA309" i="1"/>
  <c r="AB266" i="1"/>
  <c r="AU266" i="1" s="1"/>
  <c r="AA266" i="1"/>
  <c r="T266" i="1"/>
  <c r="T334" i="1"/>
  <c r="AB334" i="1"/>
  <c r="AU334" i="1" s="1"/>
  <c r="AA334" i="1"/>
  <c r="AG382" i="1"/>
  <c r="AZ382" i="1" s="1"/>
  <c r="AT351" i="1"/>
  <c r="AG351" i="1"/>
  <c r="AZ351" i="1" s="1"/>
  <c r="AT463" i="1"/>
  <c r="AG463" i="1"/>
  <c r="AZ463" i="1" s="1"/>
  <c r="AT557" i="1"/>
  <c r="AG557" i="1"/>
  <c r="AZ557" i="1" s="1"/>
  <c r="AA671" i="1"/>
  <c r="T671" i="1"/>
  <c r="AB671" i="1"/>
  <c r="AU671" i="1" s="1"/>
  <c r="AB767" i="1"/>
  <c r="AU767" i="1" s="1"/>
  <c r="AA767" i="1"/>
  <c r="T767" i="1"/>
  <c r="AA781" i="1"/>
  <c r="AB781" i="1"/>
  <c r="AU781" i="1" s="1"/>
  <c r="T781" i="1"/>
  <c r="AA858" i="1"/>
  <c r="AB858" i="1"/>
  <c r="AU858" i="1" s="1"/>
  <c r="T858" i="1"/>
  <c r="AA838" i="1"/>
  <c r="T838" i="1"/>
  <c r="AB838" i="1"/>
  <c r="AU838" i="1" s="1"/>
  <c r="AB851" i="1"/>
  <c r="AU851" i="1" s="1"/>
  <c r="AA851" i="1"/>
  <c r="T851" i="1"/>
  <c r="X819" i="1"/>
  <c r="R819" i="1"/>
  <c r="S819" i="1"/>
  <c r="P861" i="1"/>
  <c r="P864" i="1" s="1"/>
  <c r="Q819" i="1"/>
  <c r="AX932" i="1"/>
  <c r="Q604" i="1"/>
  <c r="AT166" i="1"/>
  <c r="AG166" i="1"/>
  <c r="AZ166" i="1" s="1"/>
  <c r="R286" i="1"/>
  <c r="AP285" i="1"/>
  <c r="AP286" i="1" s="1"/>
  <c r="AT333" i="1"/>
  <c r="AG333" i="1"/>
  <c r="AZ333" i="1" s="1"/>
  <c r="T708" i="1"/>
  <c r="AB708" i="1"/>
  <c r="AU708" i="1" s="1"/>
  <c r="AA708" i="1"/>
  <c r="AT522" i="1"/>
  <c r="AG522" i="1"/>
  <c r="AZ522" i="1" s="1"/>
  <c r="AB611" i="1"/>
  <c r="AA611" i="1"/>
  <c r="S614" i="1"/>
  <c r="T611" i="1"/>
  <c r="AT784" i="1"/>
  <c r="AG784" i="1"/>
  <c r="AZ784" i="1" s="1"/>
  <c r="AT122" i="1"/>
  <c r="AG122" i="1"/>
  <c r="AZ122" i="1" s="1"/>
  <c r="T535" i="1"/>
  <c r="AB535" i="1"/>
  <c r="AU535" i="1" s="1"/>
  <c r="AA535" i="1"/>
  <c r="AB528" i="1"/>
  <c r="AU528" i="1" s="1"/>
  <c r="AA528" i="1"/>
  <c r="T528" i="1"/>
  <c r="T643" i="1"/>
  <c r="AB643" i="1"/>
  <c r="AU643" i="1" s="1"/>
  <c r="AA643" i="1"/>
  <c r="AA777" i="1"/>
  <c r="T777" i="1"/>
  <c r="AB777" i="1"/>
  <c r="AU777" i="1" s="1"/>
  <c r="P887" i="1"/>
  <c r="P888" i="1" s="1"/>
  <c r="R870" i="1"/>
  <c r="Q870" i="1"/>
  <c r="X870" i="1"/>
  <c r="S870" i="1"/>
  <c r="AB506" i="1"/>
  <c r="AU506" i="1" s="1"/>
  <c r="T506" i="1"/>
  <c r="AA506" i="1"/>
  <c r="AT622" i="1"/>
  <c r="AG622" i="1"/>
  <c r="AZ622" i="1" s="1"/>
  <c r="AT252" i="1"/>
  <c r="AG252" i="1"/>
  <c r="AZ252" i="1" s="1"/>
  <c r="X217" i="1"/>
  <c r="AQ216" i="1"/>
  <c r="AQ217" i="1" s="1"/>
  <c r="Q639" i="1"/>
  <c r="AO638" i="1"/>
  <c r="AO639" i="1" s="1"/>
  <c r="AQ914" i="1"/>
  <c r="AQ916" i="1" s="1"/>
  <c r="X916" i="1"/>
  <c r="AA756" i="1"/>
  <c r="T756" i="1"/>
  <c r="AB756" i="1"/>
  <c r="AU756" i="1" s="1"/>
  <c r="AA588" i="1"/>
  <c r="T588" i="1"/>
  <c r="AB588" i="1"/>
  <c r="AU588" i="1" s="1"/>
  <c r="AB694" i="1"/>
  <c r="AU694" i="1" s="1"/>
  <c r="AA694" i="1"/>
  <c r="T694" i="1"/>
  <c r="AT792" i="1"/>
  <c r="AG792" i="1"/>
  <c r="AZ792" i="1" s="1"/>
  <c r="AT310" i="1"/>
  <c r="AG310" i="1"/>
  <c r="AZ310" i="1" s="1"/>
  <c r="T483" i="1"/>
  <c r="AB483" i="1"/>
  <c r="AU483" i="1" s="1"/>
  <c r="AA483" i="1"/>
  <c r="AA785" i="1"/>
  <c r="AB785" i="1"/>
  <c r="AU785" i="1" s="1"/>
  <c r="T785" i="1"/>
  <c r="R133" i="1"/>
  <c r="AA71" i="1"/>
  <c r="T71" i="1"/>
  <c r="AB71" i="1"/>
  <c r="AU71" i="1" s="1"/>
  <c r="AA253" i="1"/>
  <c r="T253" i="1"/>
  <c r="AB253" i="1"/>
  <c r="AU253" i="1" s="1"/>
  <c r="AO285" i="1"/>
  <c r="AO286" i="1" s="1"/>
  <c r="Q286" i="1"/>
  <c r="AT775" i="1"/>
  <c r="AG775" i="1"/>
  <c r="AZ775" i="1" s="1"/>
  <c r="T871" i="1"/>
  <c r="AB871" i="1"/>
  <c r="AU871" i="1" s="1"/>
  <c r="AA871" i="1"/>
  <c r="AB189" i="1"/>
  <c r="AU189" i="1" s="1"/>
  <c r="AA189" i="1"/>
  <c r="T189" i="1"/>
  <c r="AB778" i="1"/>
  <c r="AU778" i="1" s="1"/>
  <c r="AA778" i="1"/>
  <c r="T778" i="1"/>
  <c r="AO66" i="1"/>
  <c r="T68" i="1"/>
  <c r="AB68" i="1"/>
  <c r="AU68" i="1" s="1"/>
  <c r="AA68" i="1"/>
  <c r="AA20" i="1"/>
  <c r="T20" i="1"/>
  <c r="AB20" i="1"/>
  <c r="AU20" i="1" s="1"/>
  <c r="AT432" i="1"/>
  <c r="AG432" i="1"/>
  <c r="AZ432" i="1" s="1"/>
  <c r="AQ604" i="1"/>
  <c r="AT626" i="1"/>
  <c r="AG626" i="1"/>
  <c r="AZ626" i="1" s="1"/>
  <c r="T499" i="1"/>
  <c r="AB499" i="1"/>
  <c r="AU499" i="1" s="1"/>
  <c r="AA499" i="1"/>
  <c r="AT558" i="1"/>
  <c r="AG558" i="1"/>
  <c r="AZ558" i="1" s="1"/>
  <c r="AT537" i="1"/>
  <c r="AG537" i="1"/>
  <c r="AZ537" i="1" s="1"/>
  <c r="AT717" i="1"/>
  <c r="AG717" i="1"/>
  <c r="AZ717" i="1" s="1"/>
  <c r="AT802" i="1"/>
  <c r="AG802" i="1"/>
  <c r="AZ802" i="1" s="1"/>
  <c r="AT834" i="1"/>
  <c r="AG834" i="1"/>
  <c r="AZ834" i="1" s="1"/>
  <c r="AT151" i="1"/>
  <c r="AG151" i="1"/>
  <c r="AZ151" i="1" s="1"/>
  <c r="AB572" i="1"/>
  <c r="AU572" i="1" s="1"/>
  <c r="AA572" i="1"/>
  <c r="T572" i="1"/>
  <c r="AT420" i="1"/>
  <c r="AG420" i="1"/>
  <c r="AZ420" i="1" s="1"/>
  <c r="AP214" i="1"/>
  <c r="AP215" i="1" s="1"/>
  <c r="R215" i="1"/>
  <c r="AT159" i="1"/>
  <c r="AG159" i="1"/>
  <c r="AZ159" i="1" s="1"/>
  <c r="AT262" i="1"/>
  <c r="AG262" i="1"/>
  <c r="AZ262" i="1" s="1"/>
  <c r="T121" i="1"/>
  <c r="AB121" i="1"/>
  <c r="AU121" i="1" s="1"/>
  <c r="AA121" i="1"/>
  <c r="AA346" i="1"/>
  <c r="T346" i="1"/>
  <c r="AB346" i="1"/>
  <c r="AU346" i="1" s="1"/>
  <c r="AT300" i="1"/>
  <c r="AG300" i="1"/>
  <c r="AT307" i="1"/>
  <c r="AG307" i="1"/>
  <c r="AZ307" i="1" s="1"/>
  <c r="AT260" i="1"/>
  <c r="AG260" i="1"/>
  <c r="AZ260" i="1" s="1"/>
  <c r="S322" i="1"/>
  <c r="AB321" i="1"/>
  <c r="AA321" i="1"/>
  <c r="T321" i="1"/>
  <c r="T322" i="1" s="1"/>
  <c r="AT518" i="1"/>
  <c r="AG518" i="1"/>
  <c r="AZ518" i="1" s="1"/>
  <c r="AA497" i="1"/>
  <c r="T497" i="1"/>
  <c r="AB497" i="1"/>
  <c r="AU497" i="1" s="1"/>
  <c r="T584" i="1"/>
  <c r="AB584" i="1"/>
  <c r="AU584" i="1" s="1"/>
  <c r="AA584" i="1"/>
  <c r="AB569" i="1"/>
  <c r="AU569" i="1" s="1"/>
  <c r="AA569" i="1"/>
  <c r="T569" i="1"/>
  <c r="AB681" i="1"/>
  <c r="AU681" i="1" s="1"/>
  <c r="AA681" i="1"/>
  <c r="T681" i="1"/>
  <c r="AB701" i="1"/>
  <c r="AU701" i="1" s="1"/>
  <c r="T701" i="1"/>
  <c r="AA701" i="1"/>
  <c r="AB757" i="1"/>
  <c r="AU757" i="1" s="1"/>
  <c r="AA757" i="1"/>
  <c r="T757" i="1"/>
  <c r="X904" i="1"/>
  <c r="AQ899" i="1"/>
  <c r="AQ904" i="1" s="1"/>
  <c r="AT886" i="1"/>
  <c r="AG886" i="1"/>
  <c r="AZ886" i="1" s="1"/>
  <c r="P810" i="1"/>
  <c r="P812" i="1" s="1"/>
  <c r="Q669" i="1"/>
  <c r="X669" i="1"/>
  <c r="S669" i="1"/>
  <c r="R669" i="1"/>
  <c r="AO108" i="1"/>
  <c r="AO133" i="1" s="1"/>
  <c r="Q133" i="1"/>
  <c r="X133" i="1"/>
  <c r="AT61" i="1"/>
  <c r="AG61" i="1"/>
  <c r="AZ61" i="1" s="1"/>
  <c r="T238" i="1"/>
  <c r="AB238" i="1"/>
  <c r="AU238" i="1" s="1"/>
  <c r="AA238" i="1"/>
  <c r="AA150" i="1"/>
  <c r="T150" i="1"/>
  <c r="AB150" i="1"/>
  <c r="AU150" i="1" s="1"/>
  <c r="T243" i="1"/>
  <c r="AB243" i="1"/>
  <c r="AU243" i="1" s="1"/>
  <c r="AA243" i="1"/>
  <c r="T439" i="1"/>
  <c r="AB439" i="1"/>
  <c r="AU439" i="1" s="1"/>
  <c r="AA439" i="1"/>
  <c r="AO339" i="1"/>
  <c r="AO357" i="1" s="1"/>
  <c r="AO358" i="1" s="1"/>
  <c r="Q357" i="1"/>
  <c r="Q358" i="1" s="1"/>
  <c r="AT269" i="1"/>
  <c r="AG269" i="1"/>
  <c r="AZ269" i="1" s="1"/>
  <c r="T402" i="1"/>
  <c r="AB402" i="1"/>
  <c r="AU402" i="1" s="1"/>
  <c r="AA402" i="1"/>
  <c r="T734" i="1"/>
  <c r="AB734" i="1"/>
  <c r="AU734" i="1" s="1"/>
  <c r="AA734" i="1"/>
  <c r="AA728" i="1"/>
  <c r="AB728" i="1"/>
  <c r="AU728" i="1" s="1"/>
  <c r="T728" i="1"/>
  <c r="AA843" i="1"/>
  <c r="T843" i="1"/>
  <c r="AB843" i="1"/>
  <c r="AU843" i="1" s="1"/>
  <c r="AB800" i="1"/>
  <c r="AU800" i="1" s="1"/>
  <c r="T800" i="1"/>
  <c r="AA800" i="1"/>
  <c r="T879" i="1"/>
  <c r="AA879" i="1"/>
  <c r="AB879" i="1"/>
  <c r="AU879" i="1" s="1"/>
  <c r="AT876" i="1"/>
  <c r="AG876" i="1"/>
  <c r="AZ876" i="1" s="1"/>
  <c r="T22" i="1"/>
  <c r="AB22" i="1"/>
  <c r="AU22" i="1" s="1"/>
  <c r="AA22" i="1"/>
  <c r="V134" i="1"/>
  <c r="AT13" i="1"/>
  <c r="AG13" i="1"/>
  <c r="AZ13" i="1" s="1"/>
  <c r="T131" i="1"/>
  <c r="AB131" i="1"/>
  <c r="AU131" i="1" s="1"/>
  <c r="AA131" i="1"/>
  <c r="AT92" i="1"/>
  <c r="AG92" i="1"/>
  <c r="AZ92" i="1" s="1"/>
  <c r="AP45" i="1"/>
  <c r="AP49" i="1" s="1"/>
  <c r="R49" i="1"/>
  <c r="U193" i="1"/>
  <c r="AA274" i="1"/>
  <c r="T274" i="1"/>
  <c r="AB274" i="1"/>
  <c r="AU274" i="1" s="1"/>
  <c r="T448" i="1"/>
  <c r="AB448" i="1"/>
  <c r="AU448" i="1" s="1"/>
  <c r="AA448" i="1"/>
  <c r="AT435" i="1"/>
  <c r="AG435" i="1"/>
  <c r="T559" i="1"/>
  <c r="AB559" i="1"/>
  <c r="AU559" i="1" s="1"/>
  <c r="AA559" i="1"/>
  <c r="T416" i="1"/>
  <c r="AB416" i="1"/>
  <c r="AU416" i="1" s="1"/>
  <c r="AA416" i="1"/>
  <c r="T543" i="1"/>
  <c r="AB543" i="1"/>
  <c r="AU543" i="1" s="1"/>
  <c r="AA543" i="1"/>
  <c r="AT590" i="1"/>
  <c r="AG590" i="1"/>
  <c r="AZ590" i="1" s="1"/>
  <c r="AT747" i="1"/>
  <c r="AG747" i="1"/>
  <c r="AZ747" i="1" s="1"/>
  <c r="AT793" i="1"/>
  <c r="AG793" i="1"/>
  <c r="AZ793" i="1" s="1"/>
  <c r="Q898" i="1"/>
  <c r="AO895" i="1"/>
  <c r="AO898" i="1" s="1"/>
  <c r="AT875" i="1"/>
  <c r="AG875" i="1"/>
  <c r="AZ875" i="1" s="1"/>
  <c r="T143" i="1"/>
  <c r="AA143" i="1"/>
  <c r="AB143" i="1"/>
  <c r="AT275" i="1"/>
  <c r="AG275" i="1"/>
  <c r="AZ275" i="1" s="1"/>
  <c r="AT107" i="1"/>
  <c r="AG107" i="1"/>
  <c r="AA116" i="1"/>
  <c r="T116" i="1"/>
  <c r="AB116" i="1"/>
  <c r="AU116" i="1" s="1"/>
  <c r="T206" i="1"/>
  <c r="AB206" i="1"/>
  <c r="AU206" i="1" s="1"/>
  <c r="AA206" i="1"/>
  <c r="T539" i="1"/>
  <c r="AB539" i="1"/>
  <c r="AU539" i="1" s="1"/>
  <c r="AA539" i="1"/>
  <c r="T460" i="1"/>
  <c r="AB460" i="1"/>
  <c r="AU460" i="1" s="1"/>
  <c r="AA460" i="1"/>
  <c r="U423" i="1"/>
  <c r="U932" i="1" s="1"/>
  <c r="AB367" i="1"/>
  <c r="AU367" i="1" s="1"/>
  <c r="AA367" i="1"/>
  <c r="T367" i="1"/>
  <c r="AA353" i="1"/>
  <c r="AB353" i="1"/>
  <c r="AU353" i="1" s="1"/>
  <c r="T353" i="1"/>
  <c r="T563" i="1"/>
  <c r="AB563" i="1"/>
  <c r="AU563" i="1" s="1"/>
  <c r="AA563" i="1"/>
  <c r="T704" i="1"/>
  <c r="AB704" i="1"/>
  <c r="AU704" i="1" s="1"/>
  <c r="AA704" i="1"/>
  <c r="AT730" i="1"/>
  <c r="AG730" i="1"/>
  <c r="AZ730" i="1" s="1"/>
  <c r="AB803" i="1"/>
  <c r="AU803" i="1" s="1"/>
  <c r="AA803" i="1"/>
  <c r="T803" i="1"/>
  <c r="AX936" i="1"/>
  <c r="T203" i="1"/>
  <c r="AB203" i="1"/>
  <c r="AU203" i="1" s="1"/>
  <c r="AA203" i="1"/>
  <c r="AQ338" i="1"/>
  <c r="T373" i="1"/>
  <c r="AB373" i="1"/>
  <c r="AU373" i="1" s="1"/>
  <c r="AA373" i="1"/>
  <c r="T447" i="1"/>
  <c r="AB447" i="1"/>
  <c r="AU447" i="1" s="1"/>
  <c r="AA447" i="1"/>
  <c r="AA162" i="1"/>
  <c r="AB162" i="1"/>
  <c r="AU162" i="1" s="1"/>
  <c r="T162" i="1"/>
  <c r="Q365" i="1"/>
  <c r="P371" i="1"/>
  <c r="P386" i="1" s="1"/>
  <c r="X365" i="1"/>
  <c r="S365" i="1"/>
  <c r="R365" i="1"/>
  <c r="AA489" i="1"/>
  <c r="T489" i="1"/>
  <c r="AB489" i="1"/>
  <c r="AU489" i="1" s="1"/>
  <c r="AB132" i="1"/>
  <c r="AU132" i="1" s="1"/>
  <c r="T132" i="1"/>
  <c r="AA132" i="1"/>
  <c r="T174" i="1"/>
  <c r="AB174" i="1"/>
  <c r="AU174" i="1" s="1"/>
  <c r="AA174" i="1"/>
  <c r="AT72" i="1"/>
  <c r="AG72" i="1"/>
  <c r="AZ72" i="1" s="1"/>
  <c r="AT97" i="1"/>
  <c r="AG97" i="1"/>
  <c r="AZ97" i="1" s="1"/>
  <c r="AT510" i="1"/>
  <c r="AG510" i="1"/>
  <c r="AZ510" i="1" s="1"/>
  <c r="AT721" i="1"/>
  <c r="AG721" i="1"/>
  <c r="AZ721" i="1" s="1"/>
  <c r="AT840" i="1"/>
  <c r="AG840" i="1"/>
  <c r="AZ840" i="1" s="1"/>
  <c r="AA919" i="1"/>
  <c r="T919" i="1"/>
  <c r="AB919" i="1"/>
  <c r="AU919" i="1" s="1"/>
  <c r="AQ42" i="1"/>
  <c r="AQ44" i="1" s="1"/>
  <c r="X44" i="1"/>
  <c r="AT562" i="1"/>
  <c r="AG562" i="1"/>
  <c r="AZ562" i="1" s="1"/>
  <c r="AT678" i="1"/>
  <c r="AG678" i="1"/>
  <c r="AZ678" i="1" s="1"/>
  <c r="AA412" i="1"/>
  <c r="T412" i="1"/>
  <c r="AB412" i="1"/>
  <c r="AU412" i="1" s="1"/>
  <c r="AA601" i="1"/>
  <c r="AB601" i="1"/>
  <c r="AU601" i="1" s="1"/>
  <c r="T601" i="1"/>
  <c r="T682" i="1"/>
  <c r="AB682" i="1"/>
  <c r="AU682" i="1" s="1"/>
  <c r="AA682" i="1"/>
  <c r="AA675" i="1"/>
  <c r="T675" i="1"/>
  <c r="AB675" i="1"/>
  <c r="AU675" i="1" s="1"/>
  <c r="R916" i="1"/>
  <c r="AP914" i="1"/>
  <c r="AP916" i="1" s="1"/>
  <c r="AT185" i="1"/>
  <c r="AG185" i="1"/>
  <c r="AZ185" i="1" s="1"/>
  <c r="AT263" i="1"/>
  <c r="AG263" i="1"/>
  <c r="AZ263" i="1" s="1"/>
  <c r="AT103" i="1"/>
  <c r="AG103" i="1"/>
  <c r="AZ103" i="1" s="1"/>
  <c r="T160" i="1"/>
  <c r="AA160" i="1"/>
  <c r="AB160" i="1"/>
  <c r="AU160" i="1" s="1"/>
  <c r="AP224" i="1"/>
  <c r="AP226" i="1" s="1"/>
  <c r="R226" i="1"/>
  <c r="AB915" i="1"/>
  <c r="AU915" i="1" s="1"/>
  <c r="AA915" i="1"/>
  <c r="T915" i="1"/>
  <c r="T10" i="1"/>
  <c r="AA10" i="1"/>
  <c r="AB10" i="1"/>
  <c r="AU10" i="1" s="1"/>
  <c r="AT26" i="1"/>
  <c r="AG26" i="1"/>
  <c r="AZ26" i="1" s="1"/>
  <c r="T43" i="1"/>
  <c r="AB43" i="1"/>
  <c r="AU43" i="1" s="1"/>
  <c r="AA43" i="1"/>
  <c r="AB204" i="1"/>
  <c r="AU204" i="1" s="1"/>
  <c r="AA204" i="1"/>
  <c r="T204" i="1"/>
  <c r="T921" i="1"/>
  <c r="AB921" i="1"/>
  <c r="AU921" i="1" s="1"/>
  <c r="AA921" i="1"/>
  <c r="R18" i="1"/>
  <c r="P35" i="1"/>
  <c r="Q18" i="1"/>
  <c r="X18" i="1"/>
  <c r="S18" i="1"/>
  <c r="AB99" i="1"/>
  <c r="AU99" i="1" s="1"/>
  <c r="AA99" i="1"/>
  <c r="T99" i="1"/>
  <c r="AB110" i="1"/>
  <c r="AU110" i="1" s="1"/>
  <c r="AA110" i="1"/>
  <c r="T110" i="1"/>
  <c r="X286" i="1"/>
  <c r="AQ285" i="1"/>
  <c r="AQ286" i="1" s="1"/>
  <c r="AT594" i="1"/>
  <c r="AG594" i="1"/>
  <c r="AZ594" i="1" s="1"/>
  <c r="AB761" i="1"/>
  <c r="AU761" i="1" s="1"/>
  <c r="AA761" i="1"/>
  <c r="T761" i="1"/>
  <c r="AA827" i="1"/>
  <c r="AB827" i="1"/>
  <c r="AU827" i="1" s="1"/>
  <c r="T827" i="1"/>
  <c r="T860" i="1"/>
  <c r="AB860" i="1"/>
  <c r="AU860" i="1" s="1"/>
  <c r="AA860" i="1"/>
  <c r="AA442" i="1"/>
  <c r="T442" i="1"/>
  <c r="AB442" i="1"/>
  <c r="AU442" i="1" s="1"/>
  <c r="AO89" i="1"/>
  <c r="AO106" i="1" s="1"/>
  <c r="AO134" i="1" s="1"/>
  <c r="Q106" i="1"/>
  <c r="AZ140" i="1"/>
  <c r="AA648" i="1"/>
  <c r="T648" i="1"/>
  <c r="AB648" i="1"/>
  <c r="AU648" i="1" s="1"/>
  <c r="AB768" i="1"/>
  <c r="AU768" i="1" s="1"/>
  <c r="AA768" i="1"/>
  <c r="T768" i="1"/>
  <c r="AT615" i="1"/>
  <c r="AG615" i="1"/>
  <c r="AZ615" i="1" s="1"/>
  <c r="AA787" i="1"/>
  <c r="T787" i="1"/>
  <c r="AB787" i="1"/>
  <c r="AU787" i="1" s="1"/>
  <c r="AB565" i="1"/>
  <c r="AU565" i="1" s="1"/>
  <c r="AA565" i="1"/>
  <c r="T565" i="1"/>
  <c r="AT112" i="1"/>
  <c r="AG112" i="1"/>
  <c r="AZ112" i="1" s="1"/>
  <c r="S301" i="1"/>
  <c r="R301" i="1"/>
  <c r="Q301" i="1"/>
  <c r="X301" i="1"/>
  <c r="P304" i="1"/>
  <c r="AB568" i="1"/>
  <c r="AU568" i="1" s="1"/>
  <c r="AA568" i="1"/>
  <c r="T568" i="1"/>
  <c r="AA895" i="1"/>
  <c r="S898" i="1"/>
  <c r="S905" i="1" s="1"/>
  <c r="AB895" i="1"/>
  <c r="T895" i="1"/>
  <c r="T571" i="1"/>
  <c r="AB571" i="1"/>
  <c r="AU571" i="1" s="1"/>
  <c r="AA571" i="1"/>
  <c r="AA146" i="1"/>
  <c r="T146" i="1"/>
  <c r="AB146" i="1"/>
  <c r="AU146" i="1" s="1"/>
  <c r="AT538" i="1"/>
  <c r="AG538" i="1"/>
  <c r="AZ538" i="1" s="1"/>
  <c r="AB27" i="1"/>
  <c r="AU27" i="1" s="1"/>
  <c r="AA27" i="1"/>
  <c r="T27" i="1"/>
  <c r="Q66" i="1"/>
  <c r="Q217" i="1"/>
  <c r="AO216" i="1"/>
  <c r="AO217" i="1" s="1"/>
  <c r="X157" i="1"/>
  <c r="AO157" i="1"/>
  <c r="T259" i="1"/>
  <c r="AA259" i="1"/>
  <c r="AB259" i="1"/>
  <c r="AU259" i="1" s="1"/>
  <c r="AT378" i="1"/>
  <c r="AG378" i="1"/>
  <c r="AZ378" i="1" s="1"/>
  <c r="AT376" i="1"/>
  <c r="AA641" i="1"/>
  <c r="T641" i="1"/>
  <c r="AB641" i="1"/>
  <c r="AU641" i="1" s="1"/>
  <c r="AQ638" i="1"/>
  <c r="AQ639" i="1" s="1"/>
  <c r="X639" i="1"/>
  <c r="AA733" i="1"/>
  <c r="AB733" i="1"/>
  <c r="AU733" i="1" s="1"/>
  <c r="T733" i="1"/>
  <c r="AT854" i="1"/>
  <c r="AG854" i="1"/>
  <c r="AZ854" i="1" s="1"/>
  <c r="AB914" i="1"/>
  <c r="S916" i="1"/>
  <c r="AA914" i="1"/>
  <c r="T914" i="1"/>
  <c r="AT444" i="1"/>
  <c r="AG444" i="1"/>
  <c r="AZ444" i="1" s="1"/>
  <c r="V632" i="1"/>
  <c r="AT240" i="1"/>
  <c r="AG240" i="1"/>
  <c r="AZ240" i="1" s="1"/>
  <c r="AT375" i="1"/>
  <c r="AG375" i="1"/>
  <c r="AZ375" i="1" s="1"/>
  <c r="AA695" i="1"/>
  <c r="AB695" i="1"/>
  <c r="AU695" i="1" s="1"/>
  <c r="T695" i="1"/>
  <c r="AT29" i="1"/>
  <c r="AG29" i="1"/>
  <c r="AZ29" i="1" s="1"/>
  <c r="AA89" i="1"/>
  <c r="T89" i="1"/>
  <c r="S106" i="1"/>
  <c r="AB89" i="1"/>
  <c r="W938" i="1"/>
  <c r="AA31" i="1"/>
  <c r="T31" i="1"/>
  <c r="AB31" i="1"/>
  <c r="AU31" i="1" s="1"/>
  <c r="AU300" i="1"/>
  <c r="T323" i="1"/>
  <c r="T325" i="1" s="1"/>
  <c r="S325" i="1"/>
  <c r="AB323" i="1"/>
  <c r="AA323" i="1"/>
  <c r="AT574" i="1"/>
  <c r="AG574" i="1"/>
  <c r="AZ574" i="1" s="1"/>
  <c r="AB577" i="1"/>
  <c r="AU577" i="1" s="1"/>
  <c r="AA577" i="1"/>
  <c r="T577" i="1"/>
  <c r="AT534" i="1"/>
  <c r="AG534" i="1"/>
  <c r="AZ534" i="1" s="1"/>
  <c r="AA595" i="1"/>
  <c r="T595" i="1"/>
  <c r="AB595" i="1"/>
  <c r="AU595" i="1" s="1"/>
  <c r="AB794" i="1"/>
  <c r="AU794" i="1" s="1"/>
  <c r="AA794" i="1"/>
  <c r="T794" i="1"/>
  <c r="Q904" i="1"/>
  <c r="AO899" i="1"/>
  <c r="AO904" i="1" s="1"/>
  <c r="AT850" i="1"/>
  <c r="AG850" i="1"/>
  <c r="AZ850" i="1" s="1"/>
  <c r="T859" i="1"/>
  <c r="AB859" i="1"/>
  <c r="AU859" i="1" s="1"/>
  <c r="AA859" i="1"/>
  <c r="T726" i="1"/>
  <c r="AB726" i="1"/>
  <c r="AU726" i="1" s="1"/>
  <c r="AA726" i="1"/>
  <c r="AT852" i="1"/>
  <c r="AG852" i="1"/>
  <c r="AZ852" i="1" s="1"/>
  <c r="AB235" i="1"/>
  <c r="AU235" i="1" s="1"/>
  <c r="AA235" i="1"/>
  <c r="T235" i="1"/>
  <c r="T130" i="1"/>
  <c r="AB130" i="1"/>
  <c r="AU130" i="1" s="1"/>
  <c r="AA130" i="1"/>
  <c r="AT464" i="1"/>
  <c r="AG464" i="1"/>
  <c r="AZ464" i="1" s="1"/>
  <c r="AA124" i="1"/>
  <c r="T124" i="1"/>
  <c r="AB124" i="1"/>
  <c r="AU124" i="1" s="1"/>
  <c r="AQ133" i="1"/>
  <c r="AB127" i="1"/>
  <c r="AU127" i="1" s="1"/>
  <c r="AA127" i="1"/>
  <c r="T127" i="1"/>
  <c r="R357" i="1"/>
  <c r="AP339" i="1"/>
  <c r="AP357" i="1" s="1"/>
  <c r="AP358" i="1" s="1"/>
  <c r="AA477" i="1"/>
  <c r="T477" i="1"/>
  <c r="AB477" i="1"/>
  <c r="AU477" i="1" s="1"/>
  <c r="T575" i="1"/>
  <c r="AB575" i="1"/>
  <c r="AU575" i="1" s="1"/>
  <c r="AA575" i="1"/>
  <c r="AB544" i="1"/>
  <c r="AU544" i="1" s="1"/>
  <c r="AA544" i="1"/>
  <c r="T544" i="1"/>
  <c r="AT623" i="1"/>
  <c r="AG623" i="1"/>
  <c r="AZ623" i="1" s="1"/>
  <c r="AT620" i="1"/>
  <c r="AG620" i="1"/>
  <c r="AZ620" i="1" s="1"/>
  <c r="AT705" i="1"/>
  <c r="AG705" i="1"/>
  <c r="AZ705" i="1" s="1"/>
  <c r="AT844" i="1"/>
  <c r="AG844" i="1"/>
  <c r="AZ844" i="1" s="1"/>
  <c r="AT883" i="1"/>
  <c r="AG883" i="1"/>
  <c r="AZ883" i="1" s="1"/>
  <c r="T763" i="1"/>
  <c r="AA763" i="1"/>
  <c r="AB763" i="1"/>
  <c r="AU763" i="1" s="1"/>
  <c r="AB246" i="1"/>
  <c r="AU246" i="1" s="1"/>
  <c r="T246" i="1"/>
  <c r="AA246" i="1"/>
  <c r="AB115" i="1"/>
  <c r="AU115" i="1" s="1"/>
  <c r="AA115" i="1"/>
  <c r="T115" i="1"/>
  <c r="AA172" i="1"/>
  <c r="T172" i="1"/>
  <c r="AB172" i="1"/>
  <c r="AU172" i="1" s="1"/>
  <c r="AT186" i="1"/>
  <c r="AG186" i="1"/>
  <c r="AZ186" i="1" s="1"/>
  <c r="AB239" i="1"/>
  <c r="AU239" i="1" s="1"/>
  <c r="AA239" i="1"/>
  <c r="T239" i="1"/>
  <c r="AU435" i="1"/>
  <c r="AT450" i="1"/>
  <c r="AG450" i="1"/>
  <c r="AZ450" i="1" s="1"/>
  <c r="AT491" i="1"/>
  <c r="AG491" i="1"/>
  <c r="AZ491" i="1" s="1"/>
  <c r="AA481" i="1"/>
  <c r="T481" i="1"/>
  <c r="AB481" i="1"/>
  <c r="AU481" i="1" s="1"/>
  <c r="AB502" i="1"/>
  <c r="AU502" i="1" s="1"/>
  <c r="AA502" i="1"/>
  <c r="T502" i="1"/>
  <c r="AA493" i="1"/>
  <c r="T493" i="1"/>
  <c r="AB493" i="1"/>
  <c r="AU493" i="1" s="1"/>
  <c r="AT603" i="1"/>
  <c r="AG603" i="1"/>
  <c r="AZ603" i="1" s="1"/>
  <c r="AB776" i="1"/>
  <c r="AU776" i="1" s="1"/>
  <c r="T776" i="1"/>
  <c r="AA776" i="1"/>
  <c r="AB737" i="1"/>
  <c r="AU737" i="1" s="1"/>
  <c r="AA737" i="1"/>
  <c r="T737" i="1"/>
  <c r="AT789" i="1"/>
  <c r="AG789" i="1"/>
  <c r="AZ789" i="1" s="1"/>
  <c r="AT797" i="1"/>
  <c r="AG797" i="1"/>
  <c r="AZ797" i="1" s="1"/>
  <c r="P905" i="1"/>
  <c r="AT177" i="1"/>
  <c r="AG177" i="1"/>
  <c r="AZ177" i="1" s="1"/>
  <c r="AT649" i="1"/>
  <c r="AG649" i="1"/>
  <c r="AZ649" i="1" s="1"/>
  <c r="AT8" i="1"/>
  <c r="AG8" i="1"/>
  <c r="AZ8" i="1" s="1"/>
  <c r="AU107" i="1"/>
  <c r="AT144" i="1"/>
  <c r="AG144" i="1"/>
  <c r="AZ144" i="1" s="1"/>
  <c r="AB393" i="1"/>
  <c r="AU393" i="1" s="1"/>
  <c r="AA393" i="1"/>
  <c r="T393" i="1"/>
  <c r="AA180" i="1"/>
  <c r="T180" i="1"/>
  <c r="AB180" i="1"/>
  <c r="AU180" i="1" s="1"/>
  <c r="AB379" i="1"/>
  <c r="AU379" i="1" s="1"/>
  <c r="AA379" i="1"/>
  <c r="T379" i="1"/>
  <c r="AQ293" i="1"/>
  <c r="AT546" i="1"/>
  <c r="AG546" i="1"/>
  <c r="AZ546" i="1" s="1"/>
  <c r="AT628" i="1"/>
  <c r="AG628" i="1"/>
  <c r="AZ628" i="1" s="1"/>
  <c r="AT680" i="1"/>
  <c r="AG680" i="1"/>
  <c r="AZ680" i="1" s="1"/>
  <c r="AT592" i="1"/>
  <c r="AG592" i="1"/>
  <c r="AZ592" i="1" s="1"/>
  <c r="AT833" i="1"/>
  <c r="AG833" i="1"/>
  <c r="AZ833" i="1" s="1"/>
  <c r="AT142" i="1"/>
  <c r="AG142" i="1"/>
  <c r="AZ142" i="1" s="1"/>
  <c r="X338" i="1"/>
  <c r="X358" i="1" s="1"/>
  <c r="R293" i="1"/>
  <c r="AT836" i="1"/>
  <c r="AG836" i="1"/>
  <c r="AZ836" i="1" s="1"/>
  <c r="AT624" i="1"/>
  <c r="AG624" i="1"/>
  <c r="AZ624" i="1" s="1"/>
  <c r="AA599" i="1"/>
  <c r="T599" i="1"/>
  <c r="AB599" i="1"/>
  <c r="AU599" i="1" s="1"/>
  <c r="AB922" i="1"/>
  <c r="AU922" i="1" s="1"/>
  <c r="AA922" i="1"/>
  <c r="T922" i="1"/>
  <c r="T105" i="1"/>
  <c r="AB105" i="1"/>
  <c r="AU105" i="1" s="1"/>
  <c r="AA105" i="1"/>
  <c r="AA312" i="1"/>
  <c r="T312" i="1"/>
  <c r="AB312" i="1"/>
  <c r="AU312" i="1" s="1"/>
  <c r="AT25" i="1"/>
  <c r="AG25" i="1"/>
  <c r="AZ25" i="1" s="1"/>
  <c r="AG242" i="1"/>
  <c r="AZ242" i="1" s="1"/>
  <c r="S286" i="1"/>
  <c r="AB285" i="1"/>
  <c r="AA285" i="1"/>
  <c r="T285" i="1"/>
  <c r="T286" i="1" s="1"/>
  <c r="AB399" i="1"/>
  <c r="AU399" i="1" s="1"/>
  <c r="AA399" i="1"/>
  <c r="T399" i="1"/>
  <c r="T405" i="1"/>
  <c r="AB405" i="1"/>
  <c r="AU405" i="1" s="1"/>
  <c r="AA405" i="1"/>
  <c r="AB579" i="1"/>
  <c r="AU579" i="1" s="1"/>
  <c r="AA579" i="1"/>
  <c r="T579" i="1"/>
  <c r="T644" i="1"/>
  <c r="AA644" i="1"/>
  <c r="AB644" i="1"/>
  <c r="AU644" i="1" s="1"/>
  <c r="AT90" i="1"/>
  <c r="AG90" i="1"/>
  <c r="AZ90" i="1" s="1"/>
  <c r="AT570" i="1"/>
  <c r="AG570" i="1"/>
  <c r="AZ570" i="1" s="1"/>
  <c r="AA722" i="1"/>
  <c r="AB722" i="1"/>
  <c r="AU722" i="1" s="1"/>
  <c r="T722" i="1"/>
  <c r="AO302" i="1"/>
  <c r="T58" i="1"/>
  <c r="AA58" i="1"/>
  <c r="AA474" i="1"/>
  <c r="T474" i="1"/>
  <c r="AB474" i="1"/>
  <c r="AU474" i="1" s="1"/>
  <c r="AA513" i="1"/>
  <c r="T513" i="1"/>
  <c r="AB513" i="1"/>
  <c r="AU513" i="1" s="1"/>
  <c r="AT129" i="1"/>
  <c r="AG129" i="1"/>
  <c r="AZ129" i="1" s="1"/>
  <c r="T751" i="1"/>
  <c r="AB751" i="1"/>
  <c r="AU751" i="1" s="1"/>
  <c r="AA751" i="1"/>
  <c r="AO321" i="1"/>
  <c r="AO322" i="1" s="1"/>
  <c r="Q322" i="1"/>
  <c r="T547" i="1"/>
  <c r="AB547" i="1"/>
  <c r="AU547" i="1" s="1"/>
  <c r="AA547" i="1"/>
  <c r="AB741" i="1"/>
  <c r="AU741" i="1" s="1"/>
  <c r="AA741" i="1"/>
  <c r="T741" i="1"/>
  <c r="S158" i="1"/>
  <c r="P192" i="1"/>
  <c r="P193" i="1" s="1"/>
  <c r="X158" i="1"/>
  <c r="R158" i="1"/>
  <c r="Q158" i="1"/>
  <c r="AB93" i="1"/>
  <c r="AU93" i="1" s="1"/>
  <c r="AA93" i="1"/>
  <c r="T93" i="1"/>
  <c r="X66" i="1"/>
  <c r="AT237" i="1"/>
  <c r="AG237" i="1"/>
  <c r="AZ237" i="1" s="1"/>
  <c r="AT696" i="1"/>
  <c r="AG696" i="1"/>
  <c r="AZ696" i="1" s="1"/>
  <c r="AA846" i="1"/>
  <c r="T846" i="1"/>
  <c r="AB846" i="1"/>
  <c r="AU846" i="1" s="1"/>
  <c r="T21" i="1"/>
  <c r="AB21" i="1"/>
  <c r="AU21" i="1" s="1"/>
  <c r="AA21" i="1"/>
  <c r="X49" i="1"/>
  <c r="AQ45" i="1"/>
  <c r="AQ49" i="1" s="1"/>
  <c r="AB437" i="1"/>
  <c r="AU437" i="1" s="1"/>
  <c r="AA437" i="1"/>
  <c r="T437" i="1"/>
  <c r="AT714" i="1"/>
  <c r="AG714" i="1"/>
  <c r="AZ714" i="1" s="1"/>
  <c r="AB167" i="1"/>
  <c r="AU167" i="1" s="1"/>
  <c r="AA167" i="1"/>
  <c r="T167" i="1"/>
  <c r="AP157" i="1"/>
  <c r="AT313" i="1"/>
  <c r="AG313" i="1"/>
  <c r="AZ313" i="1" s="1"/>
  <c r="P396" i="1"/>
  <c r="S392" i="1"/>
  <c r="R392" i="1"/>
  <c r="Q392" i="1"/>
  <c r="X392" i="1"/>
  <c r="AP133" i="1"/>
  <c r="AT228" i="1"/>
  <c r="AG228" i="1"/>
  <c r="AZ228" i="1" s="1"/>
  <c r="AA120" i="1"/>
  <c r="T120" i="1"/>
  <c r="AB120" i="1"/>
  <c r="AU120" i="1" s="1"/>
  <c r="AT276" i="1"/>
  <c r="AG276" i="1"/>
  <c r="AZ276" i="1" s="1"/>
  <c r="AT498" i="1"/>
  <c r="AG498" i="1"/>
  <c r="AZ498" i="1" s="1"/>
  <c r="AA795" i="1"/>
  <c r="AB795" i="1"/>
  <c r="AU795" i="1" s="1"/>
  <c r="T795" i="1"/>
  <c r="T766" i="1"/>
  <c r="AA766" i="1"/>
  <c r="AB766" i="1"/>
  <c r="AU766" i="1" s="1"/>
  <c r="AT495" i="1"/>
  <c r="AG495" i="1"/>
  <c r="AZ495" i="1" s="1"/>
  <c r="AT369" i="1"/>
  <c r="AG369" i="1"/>
  <c r="AZ369" i="1" s="1"/>
  <c r="AT183" i="1"/>
  <c r="AG183" i="1"/>
  <c r="AZ183" i="1" s="1"/>
  <c r="AT118" i="1"/>
  <c r="AG118" i="1"/>
  <c r="AZ118" i="1" s="1"/>
  <c r="AB556" i="1"/>
  <c r="AU556" i="1" s="1"/>
  <c r="AA556" i="1"/>
  <c r="T556" i="1"/>
  <c r="T452" i="1"/>
  <c r="AB452" i="1"/>
  <c r="AU452" i="1" s="1"/>
  <c r="AA452" i="1"/>
  <c r="AO323" i="1"/>
  <c r="AO325" i="1" s="1"/>
  <c r="Q325" i="1"/>
  <c r="R322" i="1"/>
  <c r="AP321" i="1"/>
  <c r="AP322" i="1" s="1"/>
  <c r="AB540" i="1"/>
  <c r="AU540" i="1" s="1"/>
  <c r="AA540" i="1"/>
  <c r="T540" i="1"/>
  <c r="S616" i="1"/>
  <c r="R616" i="1"/>
  <c r="Q616" i="1"/>
  <c r="X616" i="1"/>
  <c r="P631" i="1"/>
  <c r="AB753" i="1"/>
  <c r="AU753" i="1" s="1"/>
  <c r="AA753" i="1"/>
  <c r="T753" i="1"/>
  <c r="AB458" i="1"/>
  <c r="AU458" i="1" s="1"/>
  <c r="T458" i="1"/>
  <c r="AA458" i="1"/>
  <c r="AB786" i="1"/>
  <c r="AU786" i="1" s="1"/>
  <c r="T786" i="1"/>
  <c r="AA786" i="1"/>
  <c r="AA760" i="1"/>
  <c r="AB760" i="1"/>
  <c r="AU760" i="1" s="1"/>
  <c r="T760" i="1"/>
  <c r="AB548" i="1"/>
  <c r="AU548" i="1" s="1"/>
  <c r="AA548" i="1"/>
  <c r="T548" i="1"/>
  <c r="R157" i="1"/>
  <c r="AT533" i="1"/>
  <c r="AG533" i="1"/>
  <c r="AZ533" i="1" s="1"/>
  <c r="AT771" i="1"/>
  <c r="AG771" i="1"/>
  <c r="AZ771" i="1" s="1"/>
  <c r="AS936" i="1"/>
  <c r="AB30" i="1"/>
  <c r="AU30" i="1" s="1"/>
  <c r="AA30" i="1"/>
  <c r="T30" i="1"/>
  <c r="AT114" i="1"/>
  <c r="AG114" i="1"/>
  <c r="AZ114" i="1" s="1"/>
  <c r="S157" i="1"/>
  <c r="AP216" i="1"/>
  <c r="AP217" i="1" s="1"/>
  <c r="R217" i="1"/>
  <c r="Q157" i="1"/>
  <c r="AU372" i="1"/>
  <c r="AA288" i="1"/>
  <c r="T288" i="1"/>
  <c r="AB288" i="1"/>
  <c r="S293" i="1"/>
  <c r="AB659" i="1"/>
  <c r="AU659" i="1" s="1"/>
  <c r="AA659" i="1"/>
  <c r="T659" i="1"/>
  <c r="AB779" i="1"/>
  <c r="AU779" i="1" s="1"/>
  <c r="T779" i="1"/>
  <c r="AA779" i="1"/>
  <c r="Q916" i="1"/>
  <c r="AO914" i="1"/>
  <c r="AO916" i="1" s="1"/>
  <c r="AT685" i="1"/>
  <c r="AG685" i="1"/>
  <c r="AZ685" i="1" s="1"/>
  <c r="T62" i="1"/>
  <c r="T66" i="1" s="1"/>
  <c r="AA62" i="1"/>
  <c r="T214" i="1"/>
  <c r="T215" i="1" s="1"/>
  <c r="S215" i="1"/>
  <c r="AB214" i="1"/>
  <c r="AA214" i="1"/>
  <c r="X106" i="1"/>
  <c r="AQ89" i="1"/>
  <c r="AQ106" i="1" s="1"/>
  <c r="AQ134" i="1" s="1"/>
  <c r="AT57" i="1"/>
  <c r="AG57" i="1"/>
  <c r="AZ57" i="1" s="1"/>
  <c r="AB165" i="1"/>
  <c r="AU165" i="1" s="1"/>
  <c r="T165" i="1"/>
  <c r="AA165" i="1"/>
  <c r="X226" i="1"/>
  <c r="AQ224" i="1"/>
  <c r="AQ226" i="1" s="1"/>
  <c r="T457" i="1"/>
  <c r="AB457" i="1"/>
  <c r="AU457" i="1" s="1"/>
  <c r="AA457" i="1"/>
  <c r="AB686" i="1"/>
  <c r="AU686" i="1" s="1"/>
  <c r="T686" i="1"/>
  <c r="AA686" i="1"/>
  <c r="AA748" i="1"/>
  <c r="T748" i="1"/>
  <c r="AB748" i="1"/>
  <c r="AU748" i="1" s="1"/>
  <c r="AT780" i="1"/>
  <c r="AG780" i="1"/>
  <c r="AZ780" i="1" s="1"/>
  <c r="AA857" i="1"/>
  <c r="AB857" i="1"/>
  <c r="AU857" i="1" s="1"/>
  <c r="T857" i="1"/>
  <c r="R904" i="1"/>
  <c r="AP899" i="1"/>
  <c r="AP904" i="1" s="1"/>
  <c r="T355" i="1"/>
  <c r="AB355" i="1"/>
  <c r="AU355" i="1" s="1"/>
  <c r="AA355" i="1"/>
  <c r="AB290" i="1"/>
  <c r="AU290" i="1" s="1"/>
  <c r="AA290" i="1"/>
  <c r="T290" i="1"/>
  <c r="AB824" i="1"/>
  <c r="AU824" i="1" s="1"/>
  <c r="T824" i="1"/>
  <c r="AA824" i="1"/>
  <c r="AB119" i="1"/>
  <c r="AU119" i="1" s="1"/>
  <c r="AA119" i="1"/>
  <c r="T119" i="1"/>
  <c r="T202" i="1"/>
  <c r="AB202" i="1"/>
  <c r="AU202" i="1" s="1"/>
  <c r="AA202" i="1"/>
  <c r="AT69" i="1"/>
  <c r="AG69" i="1"/>
  <c r="AZ69" i="1" s="1"/>
  <c r="AT147" i="1"/>
  <c r="AG147" i="1"/>
  <c r="AZ147" i="1" s="1"/>
  <c r="AT440" i="1"/>
  <c r="AG440" i="1"/>
  <c r="AZ440" i="1" s="1"/>
  <c r="AO293" i="1"/>
  <c r="AA712" i="1"/>
  <c r="T712" i="1"/>
  <c r="AB712" i="1"/>
  <c r="AU712" i="1" s="1"/>
  <c r="AT774" i="1"/>
  <c r="AG774" i="1"/>
  <c r="AZ774" i="1" s="1"/>
  <c r="AT801" i="1"/>
  <c r="AG801" i="1"/>
  <c r="AZ801" i="1" s="1"/>
  <c r="V930" i="1"/>
  <c r="AA153" i="1"/>
  <c r="T153" i="1"/>
  <c r="AB153" i="1"/>
  <c r="AU153" i="1" s="1"/>
  <c r="AT822" i="1"/>
  <c r="AG822" i="1"/>
  <c r="AZ822" i="1" s="1"/>
  <c r="T693" i="1"/>
  <c r="AA693" i="1"/>
  <c r="AB693" i="1"/>
  <c r="AU693" i="1" s="1"/>
  <c r="AA881" i="1"/>
  <c r="T881" i="1"/>
  <c r="AB881" i="1"/>
  <c r="AU881" i="1" s="1"/>
  <c r="AT154" i="1"/>
  <c r="AG154" i="1"/>
  <c r="AZ154" i="1" s="1"/>
  <c r="AT102" i="1"/>
  <c r="AG102" i="1"/>
  <c r="AZ102" i="1" s="1"/>
  <c r="AT59" i="1"/>
  <c r="AG59" i="1"/>
  <c r="AZ59" i="1" s="1"/>
  <c r="T45" i="1"/>
  <c r="S49" i="1"/>
  <c r="AB45" i="1"/>
  <c r="AA45" i="1"/>
  <c r="T374" i="1"/>
  <c r="AA374" i="1"/>
  <c r="AB374" i="1"/>
  <c r="AU374" i="1" s="1"/>
  <c r="AT370" i="1"/>
  <c r="AG370" i="1"/>
  <c r="AZ370" i="1" s="1"/>
  <c r="AA517" i="1"/>
  <c r="T517" i="1"/>
  <c r="AB517" i="1"/>
  <c r="AU517" i="1" s="1"/>
  <c r="AT702" i="1"/>
  <c r="AG702" i="1"/>
  <c r="AZ702" i="1" s="1"/>
  <c r="AB825" i="1"/>
  <c r="AU825" i="1" s="1"/>
  <c r="AA825" i="1"/>
  <c r="T825" i="1"/>
  <c r="AB849" i="1"/>
  <c r="AU849" i="1" s="1"/>
  <c r="AA849" i="1"/>
  <c r="T849" i="1"/>
  <c r="X898" i="1"/>
  <c r="AQ895" i="1"/>
  <c r="AQ898" i="1" s="1"/>
  <c r="AQ905" i="1" s="1"/>
  <c r="T267" i="1"/>
  <c r="AB267" i="1"/>
  <c r="AU267" i="1" s="1"/>
  <c r="AA267" i="1"/>
  <c r="AB672" i="1"/>
  <c r="AU672" i="1" s="1"/>
  <c r="AA672" i="1"/>
  <c r="T672" i="1"/>
  <c r="AT81" i="1"/>
  <c r="AG81" i="1"/>
  <c r="AZ81" i="1" s="1"/>
  <c r="AT33" i="1"/>
  <c r="AG33" i="1"/>
  <c r="AZ33" i="1" s="1"/>
  <c r="T101" i="1"/>
  <c r="AB101" i="1"/>
  <c r="AU101" i="1" s="1"/>
  <c r="AA101" i="1"/>
  <c r="X293" i="1"/>
  <c r="T417" i="1"/>
  <c r="AB417" i="1"/>
  <c r="AU417" i="1" s="1"/>
  <c r="AA417" i="1"/>
  <c r="AB573" i="1"/>
  <c r="AU573" i="1" s="1"/>
  <c r="AA573" i="1"/>
  <c r="T573" i="1"/>
  <c r="AT508" i="1"/>
  <c r="AG508" i="1"/>
  <c r="AZ508" i="1" s="1"/>
  <c r="AA744" i="1"/>
  <c r="T744" i="1"/>
  <c r="AB744" i="1"/>
  <c r="AU744" i="1" s="1"/>
  <c r="AB830" i="1"/>
  <c r="AU830" i="1" s="1"/>
  <c r="T830" i="1"/>
  <c r="AA830" i="1"/>
  <c r="AT32" i="1"/>
  <c r="AG32" i="1"/>
  <c r="AZ32" i="1" s="1"/>
  <c r="AT47" i="1"/>
  <c r="AG47" i="1"/>
  <c r="AZ47" i="1" s="1"/>
  <c r="AQ7" i="1"/>
  <c r="AQ17" i="1" s="1"/>
  <c r="X17" i="1"/>
  <c r="T306" i="1"/>
  <c r="AB306" i="1"/>
  <c r="AU306" i="1" s="1"/>
  <c r="AA306" i="1"/>
  <c r="AP293" i="1"/>
  <c r="T527" i="1"/>
  <c r="AB527" i="1"/>
  <c r="AU527" i="1" s="1"/>
  <c r="AA527" i="1"/>
  <c r="AA752" i="1"/>
  <c r="AB752" i="1"/>
  <c r="AU752" i="1" s="1"/>
  <c r="T752" i="1"/>
  <c r="AT292" i="1"/>
  <c r="AG292" i="1"/>
  <c r="AZ292" i="1" s="1"/>
  <c r="V386" i="1"/>
  <c r="AT490" i="1"/>
  <c r="AG490" i="1"/>
  <c r="AZ490" i="1" s="1"/>
  <c r="AT673" i="1"/>
  <c r="AG673" i="1"/>
  <c r="AZ673" i="1" s="1"/>
  <c r="X604" i="1"/>
  <c r="AT430" i="1"/>
  <c r="AG430" i="1"/>
  <c r="AZ430" i="1" s="1"/>
  <c r="AB466" i="1"/>
  <c r="AU466" i="1" s="1"/>
  <c r="T466" i="1"/>
  <c r="AA466" i="1"/>
  <c r="AT542" i="1"/>
  <c r="AG542" i="1"/>
  <c r="AZ542" i="1" s="1"/>
  <c r="T567" i="1"/>
  <c r="AB567" i="1"/>
  <c r="AU567" i="1" s="1"/>
  <c r="AA567" i="1"/>
  <c r="X614" i="1"/>
  <c r="AQ611" i="1"/>
  <c r="AQ614" i="1" s="1"/>
  <c r="AA831" i="1"/>
  <c r="T831" i="1"/>
  <c r="AB831" i="1"/>
  <c r="AU831" i="1" s="1"/>
  <c r="AA885" i="1"/>
  <c r="T885" i="1"/>
  <c r="AB885" i="1"/>
  <c r="AU885" i="1" s="1"/>
  <c r="R44" i="1"/>
  <c r="AP42" i="1"/>
  <c r="AP44" i="1" s="1"/>
  <c r="AT443" i="1"/>
  <c r="AG443" i="1"/>
  <c r="AZ443" i="1" s="1"/>
  <c r="AT618" i="1"/>
  <c r="AG618" i="1"/>
  <c r="AZ618" i="1" s="1"/>
  <c r="T15" i="1"/>
  <c r="AA15" i="1"/>
  <c r="AB15" i="1"/>
  <c r="AU15" i="1" s="1"/>
  <c r="S227" i="1"/>
  <c r="R227" i="1"/>
  <c r="Q227" i="1"/>
  <c r="P277" i="1"/>
  <c r="P278" i="1" s="1"/>
  <c r="X227" i="1"/>
  <c r="T602" i="1"/>
  <c r="AB602" i="1"/>
  <c r="AU602" i="1" s="1"/>
  <c r="AA602" i="1"/>
  <c r="AT826" i="1"/>
  <c r="AG826" i="1"/>
  <c r="AZ826" i="1" s="1"/>
  <c r="AA709" i="1"/>
  <c r="AB709" i="1"/>
  <c r="AU709" i="1" s="1"/>
  <c r="T709" i="1"/>
  <c r="AT901" i="1"/>
  <c r="AG901" i="1"/>
  <c r="AZ901" i="1" s="1"/>
  <c r="T289" i="1"/>
  <c r="AB289" i="1"/>
  <c r="AU289" i="1" s="1"/>
  <c r="AA289" i="1"/>
  <c r="V423" i="1"/>
  <c r="AT809" i="1"/>
  <c r="AG809" i="1"/>
  <c r="AZ809" i="1" s="1"/>
  <c r="AT395" i="1"/>
  <c r="AG395" i="1"/>
  <c r="AZ395" i="1" s="1"/>
  <c r="P661" i="1"/>
  <c r="P662" i="1" s="1"/>
  <c r="R640" i="1"/>
  <c r="S640" i="1"/>
  <c r="Q640" i="1"/>
  <c r="X640" i="1"/>
  <c r="AA356" i="1"/>
  <c r="AB356" i="1"/>
  <c r="AU356" i="1" s="1"/>
  <c r="T356" i="1"/>
  <c r="AB445" i="1"/>
  <c r="AU445" i="1" s="1"/>
  <c r="AA445" i="1"/>
  <c r="T445" i="1"/>
  <c r="P632" i="1"/>
  <c r="T647" i="1"/>
  <c r="AA647" i="1"/>
  <c r="AB647" i="1"/>
  <c r="AU647" i="1" s="1"/>
  <c r="AT241" i="1"/>
  <c r="AG241" i="1"/>
  <c r="AZ241" i="1" s="1"/>
  <c r="AT372" i="1"/>
  <c r="AG372" i="1"/>
  <c r="AT397" i="1"/>
  <c r="AG397" i="1"/>
  <c r="AB419" i="1"/>
  <c r="AU419" i="1" s="1"/>
  <c r="AA419" i="1"/>
  <c r="T419" i="1"/>
  <c r="R639" i="1"/>
  <c r="AP638" i="1"/>
  <c r="AP639" i="1" s="1"/>
  <c r="AA597" i="1"/>
  <c r="T597" i="1"/>
  <c r="AB597" i="1"/>
  <c r="AU597" i="1" s="1"/>
  <c r="T656" i="1"/>
  <c r="AB656" i="1"/>
  <c r="AU656" i="1" s="1"/>
  <c r="AA656" i="1"/>
  <c r="AB711" i="1"/>
  <c r="AU711" i="1" s="1"/>
  <c r="T711" i="1"/>
  <c r="AA711" i="1"/>
  <c r="AT731" i="1"/>
  <c r="AG731" i="1"/>
  <c r="AZ731" i="1" s="1"/>
  <c r="AT742" i="1"/>
  <c r="AG742" i="1"/>
  <c r="AZ742" i="1" s="1"/>
  <c r="T805" i="1"/>
  <c r="AB805" i="1"/>
  <c r="AU805" i="1" s="1"/>
  <c r="AA805" i="1"/>
  <c r="AU917" i="1"/>
  <c r="T347" i="1"/>
  <c r="AB347" i="1"/>
  <c r="AU347" i="1" s="1"/>
  <c r="AA347" i="1"/>
  <c r="AT896" i="1"/>
  <c r="AG896" i="1"/>
  <c r="AZ896" i="1" s="1"/>
  <c r="AT585" i="1"/>
  <c r="AG585" i="1"/>
  <c r="AZ585" i="1" s="1"/>
  <c r="P218" i="1"/>
  <c r="AB161" i="1"/>
  <c r="AU161" i="1" s="1"/>
  <c r="AA161" i="1"/>
  <c r="T161" i="1"/>
  <c r="AB231" i="1"/>
  <c r="AU231" i="1" s="1"/>
  <c r="AA231" i="1"/>
  <c r="T231" i="1"/>
  <c r="T413" i="1"/>
  <c r="AB413" i="1"/>
  <c r="AU413" i="1" s="1"/>
  <c r="AA413" i="1"/>
  <c r="P326" i="1"/>
  <c r="AA408" i="1"/>
  <c r="T408" i="1"/>
  <c r="AB408" i="1"/>
  <c r="AU408" i="1" s="1"/>
  <c r="T451" i="1"/>
  <c r="AB451" i="1"/>
  <c r="AU451" i="1" s="1"/>
  <c r="AA451" i="1"/>
  <c r="AB564" i="1"/>
  <c r="AU564" i="1" s="1"/>
  <c r="AA564" i="1"/>
  <c r="T564" i="1"/>
  <c r="AT526" i="1"/>
  <c r="AG526" i="1"/>
  <c r="AZ526" i="1" s="1"/>
  <c r="AB703" i="1"/>
  <c r="AU703" i="1" s="1"/>
  <c r="T703" i="1"/>
  <c r="AA703" i="1"/>
  <c r="AT820" i="1"/>
  <c r="AG820" i="1"/>
  <c r="AZ820" i="1" s="1"/>
  <c r="AA736" i="1"/>
  <c r="AB736" i="1"/>
  <c r="AU736" i="1" s="1"/>
  <c r="T736" i="1"/>
  <c r="AT589" i="1"/>
  <c r="AG589" i="1"/>
  <c r="AZ589" i="1" s="1"/>
  <c r="AT707" i="1"/>
  <c r="AG707" i="1"/>
  <c r="AZ707" i="1" s="1"/>
  <c r="T108" i="1"/>
  <c r="AB108" i="1"/>
  <c r="AU108" i="1" s="1"/>
  <c r="AA108" i="1"/>
  <c r="AQ429" i="1"/>
  <c r="AQ433" i="1" s="1"/>
  <c r="X433" i="1"/>
  <c r="X605" i="1" s="1"/>
  <c r="T551" i="1"/>
  <c r="AB551" i="1"/>
  <c r="AU551" i="1" s="1"/>
  <c r="AA551" i="1"/>
  <c r="AO385" i="1"/>
  <c r="T339" i="1"/>
  <c r="S357" i="1"/>
  <c r="S358" i="1" s="1"/>
  <c r="AB339" i="1"/>
  <c r="AA339" i="1"/>
  <c r="Q293" i="1"/>
  <c r="AA509" i="1"/>
  <c r="T509" i="1"/>
  <c r="AB509" i="1"/>
  <c r="AU509" i="1" s="1"/>
  <c r="AB552" i="1"/>
  <c r="AU552" i="1" s="1"/>
  <c r="AA552" i="1"/>
  <c r="T552" i="1"/>
  <c r="AA593" i="1"/>
  <c r="T593" i="1"/>
  <c r="AB593" i="1"/>
  <c r="AU593" i="1" s="1"/>
  <c r="AA683" i="1"/>
  <c r="AB683" i="1"/>
  <c r="AU683" i="1" s="1"/>
  <c r="T683" i="1"/>
  <c r="AB853" i="1"/>
  <c r="AU853" i="1" s="1"/>
  <c r="T853" i="1"/>
  <c r="AA853" i="1"/>
  <c r="AT11" i="1"/>
  <c r="AG11" i="1"/>
  <c r="AZ11" i="1" s="1"/>
  <c r="T580" i="1"/>
  <c r="AB580" i="1"/>
  <c r="AU580" i="1" s="1"/>
  <c r="AA580" i="1"/>
  <c r="AA718" i="1"/>
  <c r="AB718" i="1"/>
  <c r="AU718" i="1" s="1"/>
  <c r="T718" i="1"/>
  <c r="AB828" i="1"/>
  <c r="AU828" i="1" s="1"/>
  <c r="AA828" i="1"/>
  <c r="T828" i="1"/>
  <c r="AT125" i="1"/>
  <c r="AG125" i="1"/>
  <c r="AZ125" i="1" s="1"/>
  <c r="AT169" i="1"/>
  <c r="AG169" i="1"/>
  <c r="AZ169" i="1" s="1"/>
  <c r="AT95" i="1"/>
  <c r="AG95" i="1"/>
  <c r="AZ95" i="1" s="1"/>
  <c r="S604" i="1"/>
  <c r="AT459" i="1"/>
  <c r="AG459" i="1"/>
  <c r="AZ459" i="1" s="1"/>
  <c r="AT476" i="1"/>
  <c r="AG476" i="1"/>
  <c r="AZ476" i="1" s="1"/>
  <c r="T677" i="1"/>
  <c r="AB677" i="1"/>
  <c r="AU677" i="1" s="1"/>
  <c r="AA677" i="1"/>
  <c r="AA765" i="1"/>
  <c r="AB765" i="1"/>
  <c r="AU765" i="1" s="1"/>
  <c r="T765" i="1"/>
  <c r="AT755" i="1"/>
  <c r="AG755" i="1"/>
  <c r="AZ755" i="1" s="1"/>
  <c r="T829" i="1"/>
  <c r="AB829" i="1"/>
  <c r="AU829" i="1" s="1"/>
  <c r="AA829" i="1"/>
  <c r="T842" i="1"/>
  <c r="AB842" i="1"/>
  <c r="AU842" i="1" s="1"/>
  <c r="AA842" i="1"/>
  <c r="R898" i="1"/>
  <c r="R905" i="1" s="1"/>
  <c r="AP895" i="1"/>
  <c r="AP898" i="1" s="1"/>
  <c r="AB48" i="1"/>
  <c r="AU48" i="1" s="1"/>
  <c r="AA48" i="1"/>
  <c r="T48" i="1"/>
  <c r="T670" i="1"/>
  <c r="AB670" i="1"/>
  <c r="AU670" i="1" s="1"/>
  <c r="AA670" i="1"/>
  <c r="AT233" i="1"/>
  <c r="AG233" i="1"/>
  <c r="AZ233" i="1" s="1"/>
  <c r="AY66" i="1"/>
  <c r="AY74" i="1" s="1"/>
  <c r="S398" i="1"/>
  <c r="R398" i="1"/>
  <c r="Q398" i="1"/>
  <c r="X398" i="1"/>
  <c r="P422" i="1"/>
  <c r="AA28" i="1"/>
  <c r="T28" i="1"/>
  <c r="AB28" i="1"/>
  <c r="AU28" i="1" s="1"/>
  <c r="S133" i="1"/>
  <c r="AT344" i="1"/>
  <c r="AG344" i="1"/>
  <c r="AZ344" i="1" s="1"/>
  <c r="T381" i="1"/>
  <c r="AA381" i="1"/>
  <c r="AB381" i="1"/>
  <c r="AU381" i="1" s="1"/>
  <c r="AT249" i="1"/>
  <c r="AG249" i="1"/>
  <c r="AZ249" i="1" s="1"/>
  <c r="AT366" i="1"/>
  <c r="AG366" i="1"/>
  <c r="AZ366" i="1" s="1"/>
  <c r="X305" i="1"/>
  <c r="S305" i="1"/>
  <c r="P314" i="1"/>
  <c r="R305" i="1"/>
  <c r="Q305" i="1"/>
  <c r="AT770" i="1"/>
  <c r="AG770" i="1"/>
  <c r="AZ770" i="1" s="1"/>
  <c r="AT697" i="1"/>
  <c r="AG697" i="1"/>
  <c r="AZ697" i="1" s="1"/>
  <c r="AB710" i="1"/>
  <c r="AU710" i="1" s="1"/>
  <c r="T710" i="1"/>
  <c r="AA710" i="1"/>
  <c r="AA729" i="1"/>
  <c r="T729" i="1"/>
  <c r="AB729" i="1"/>
  <c r="AU729" i="1" s="1"/>
  <c r="AO7" i="1"/>
  <c r="AO17" i="1" s="1"/>
  <c r="Q17" i="1"/>
  <c r="AB401" i="1"/>
  <c r="AU401" i="1" s="1"/>
  <c r="AA401" i="1"/>
  <c r="T401" i="1"/>
  <c r="T515" i="1"/>
  <c r="AB515" i="1"/>
  <c r="AU515" i="1" s="1"/>
  <c r="AA515" i="1"/>
  <c r="AT475" i="1"/>
  <c r="AG475" i="1"/>
  <c r="AZ475" i="1" s="1"/>
  <c r="AT56" i="1"/>
  <c r="AG56" i="1"/>
  <c r="AB335" i="1"/>
  <c r="AU335" i="1" s="1"/>
  <c r="AU338" i="1" s="1"/>
  <c r="AA335" i="1"/>
  <c r="T335" i="1"/>
  <c r="AA352" i="1"/>
  <c r="T352" i="1"/>
  <c r="AB352" i="1"/>
  <c r="AU352" i="1" s="1"/>
  <c r="U931" i="1"/>
  <c r="AA176" i="1"/>
  <c r="T176" i="1"/>
  <c r="AB176" i="1"/>
  <c r="AU176" i="1" s="1"/>
  <c r="AT117" i="1"/>
  <c r="AG117" i="1"/>
  <c r="AZ117" i="1" s="1"/>
  <c r="AA200" i="1"/>
  <c r="AB200" i="1"/>
  <c r="AU200" i="1" s="1"/>
  <c r="T200" i="1"/>
  <c r="AB560" i="1"/>
  <c r="AU560" i="1" s="1"/>
  <c r="AA560" i="1"/>
  <c r="T560" i="1"/>
  <c r="T514" i="1"/>
  <c r="AB514" i="1"/>
  <c r="AU514" i="1" s="1"/>
  <c r="AA514" i="1"/>
  <c r="Q614" i="1"/>
  <c r="AO611" i="1"/>
  <c r="AO614" i="1" s="1"/>
  <c r="AT699" i="1"/>
  <c r="AG699" i="1"/>
  <c r="AZ699" i="1" s="1"/>
  <c r="AT878" i="1"/>
  <c r="AG878" i="1"/>
  <c r="AZ878" i="1" s="1"/>
  <c r="AT900" i="1"/>
  <c r="AG900" i="1"/>
  <c r="AZ900" i="1" s="1"/>
  <c r="AB42" i="1"/>
  <c r="AA42" i="1"/>
  <c r="S44" i="1"/>
  <c r="S50" i="1" s="1"/>
  <c r="T42" i="1"/>
  <c r="T44" i="1" s="1"/>
  <c r="AB302" i="1"/>
  <c r="AU302" i="1" s="1"/>
  <c r="AA302" i="1"/>
  <c r="AT302" i="1" s="1"/>
  <c r="T302" i="1"/>
  <c r="N614" i="1"/>
  <c r="N632" i="1" s="1"/>
  <c r="AT507" i="1"/>
  <c r="AG507" i="1"/>
  <c r="AZ507" i="1" s="1"/>
  <c r="T657" i="1"/>
  <c r="AB657" i="1"/>
  <c r="AU657" i="1" s="1"/>
  <c r="AA657" i="1"/>
  <c r="T613" i="1"/>
  <c r="AA613" i="1"/>
  <c r="AB613" i="1"/>
  <c r="AU613" i="1" s="1"/>
  <c r="T880" i="1"/>
  <c r="AB880" i="1"/>
  <c r="AU880" i="1" s="1"/>
  <c r="AA880" i="1"/>
  <c r="AP429" i="1"/>
  <c r="AP433" i="1" s="1"/>
  <c r="AP605" i="1" s="1"/>
  <c r="R433" i="1"/>
  <c r="AT465" i="1"/>
  <c r="AG465" i="1"/>
  <c r="AZ465" i="1" s="1"/>
  <c r="P207" i="1"/>
  <c r="P208" i="1" s="1"/>
  <c r="R199" i="1"/>
  <c r="Q199" i="1"/>
  <c r="S199" i="1"/>
  <c r="X199" i="1"/>
  <c r="AA446" i="1"/>
  <c r="T446" i="1"/>
  <c r="AB446" i="1"/>
  <c r="AU446" i="1" s="1"/>
  <c r="AB698" i="1"/>
  <c r="AU698" i="1" s="1"/>
  <c r="T698" i="1"/>
  <c r="AA698" i="1"/>
  <c r="AA839" i="1"/>
  <c r="AB839" i="1"/>
  <c r="AU839" i="1" s="1"/>
  <c r="T839" i="1"/>
  <c r="T230" i="1"/>
  <c r="AB230" i="1"/>
  <c r="AU230" i="1" s="1"/>
  <c r="AA230" i="1"/>
  <c r="AT646" i="1"/>
  <c r="AG646" i="1"/>
  <c r="AZ646" i="1" s="1"/>
  <c r="AB244" i="1"/>
  <c r="AU244" i="1" s="1"/>
  <c r="T244" i="1"/>
  <c r="AA244" i="1"/>
  <c r="AT821" i="1"/>
  <c r="AG821" i="1"/>
  <c r="AZ821" i="1" s="1"/>
  <c r="AT627" i="1"/>
  <c r="AG627" i="1"/>
  <c r="AZ627" i="1" s="1"/>
  <c r="AB716" i="1"/>
  <c r="AU716" i="1" s="1"/>
  <c r="T716" i="1"/>
  <c r="AA716" i="1"/>
  <c r="AB684" i="1"/>
  <c r="AU684" i="1" s="1"/>
  <c r="AA684" i="1"/>
  <c r="T684" i="1"/>
  <c r="AT145" i="1"/>
  <c r="AG145" i="1"/>
  <c r="AZ145" i="1" s="1"/>
  <c r="AA258" i="1"/>
  <c r="AB258" i="1"/>
  <c r="AU258" i="1" s="1"/>
  <c r="T258" i="1"/>
  <c r="AT530" i="1"/>
  <c r="AG530" i="1"/>
  <c r="AZ530" i="1" s="1"/>
  <c r="AT762" i="1"/>
  <c r="AG762" i="1"/>
  <c r="AZ762" i="1" s="1"/>
  <c r="AB897" i="1"/>
  <c r="AU897" i="1" s="1"/>
  <c r="AA897" i="1"/>
  <c r="T897" i="1"/>
  <c r="AY15" i="1"/>
  <c r="AY17" i="1" s="1"/>
  <c r="AF17" i="1"/>
  <c r="T216" i="1"/>
  <c r="T217" i="1" s="1"/>
  <c r="AB216" i="1"/>
  <c r="S217" i="1"/>
  <c r="AA216" i="1"/>
  <c r="AO604" i="1"/>
  <c r="AT455" i="1"/>
  <c r="AG455" i="1"/>
  <c r="AZ455" i="1" s="1"/>
  <c r="AU397" i="1"/>
  <c r="AA438" i="1"/>
  <c r="T438" i="1"/>
  <c r="AB438" i="1"/>
  <c r="AU438" i="1" s="1"/>
  <c r="AT583" i="1"/>
  <c r="AG583" i="1"/>
  <c r="AZ583" i="1" s="1"/>
  <c r="T468" i="1"/>
  <c r="AB468" i="1"/>
  <c r="AU468" i="1" s="1"/>
  <c r="AA468" i="1"/>
  <c r="T555" i="1"/>
  <c r="AB555" i="1"/>
  <c r="AU555" i="1" s="1"/>
  <c r="AA555" i="1"/>
  <c r="S639" i="1"/>
  <c r="AB638" i="1"/>
  <c r="T638" i="1"/>
  <c r="T639" i="1" s="1"/>
  <c r="AA638" i="1"/>
  <c r="AT600" i="1"/>
  <c r="AG600" i="1"/>
  <c r="AZ600" i="1" s="1"/>
  <c r="T806" i="1"/>
  <c r="AA806" i="1"/>
  <c r="AB806" i="1"/>
  <c r="AU806" i="1" s="1"/>
  <c r="AT855" i="1"/>
  <c r="AG855" i="1"/>
  <c r="AZ855" i="1" s="1"/>
  <c r="AT917" i="1"/>
  <c r="AG917" i="1"/>
  <c r="T256" i="1"/>
  <c r="AB256" i="1"/>
  <c r="AU256" i="1" s="1"/>
  <c r="AA256" i="1"/>
  <c r="AS937" i="1"/>
  <c r="AT65" i="1"/>
  <c r="AG65" i="1"/>
  <c r="AZ65" i="1" s="1"/>
  <c r="AW937" i="1"/>
  <c r="AB98" i="1"/>
  <c r="AU98" i="1" s="1"/>
  <c r="AA98" i="1"/>
  <c r="T98" i="1"/>
  <c r="AO224" i="1"/>
  <c r="AO226" i="1" s="1"/>
  <c r="Q226" i="1"/>
  <c r="AT384" i="1"/>
  <c r="AG384" i="1"/>
  <c r="AZ384" i="1" s="1"/>
  <c r="X325" i="1"/>
  <c r="AQ323" i="1"/>
  <c r="AQ325" i="1" s="1"/>
  <c r="X322" i="1"/>
  <c r="AQ321" i="1"/>
  <c r="AQ322" i="1" s="1"/>
  <c r="AB688" i="1"/>
  <c r="AU688" i="1" s="1"/>
  <c r="T688" i="1"/>
  <c r="AA688" i="1"/>
  <c r="T470" i="1"/>
  <c r="AB470" i="1"/>
  <c r="AU470" i="1" s="1"/>
  <c r="AA470" i="1"/>
  <c r="AT554" i="1"/>
  <c r="AG554" i="1"/>
  <c r="AZ554" i="1" s="1"/>
  <c r="AT783" i="1"/>
  <c r="AG783" i="1"/>
  <c r="AZ783" i="1" s="1"/>
  <c r="AA873" i="1"/>
  <c r="T873" i="1"/>
  <c r="AB873" i="1"/>
  <c r="AU873" i="1" s="1"/>
  <c r="T902" i="1"/>
  <c r="AB902" i="1"/>
  <c r="AU902" i="1" s="1"/>
  <c r="AA902" i="1"/>
  <c r="AT63" i="1"/>
  <c r="AG63" i="1"/>
  <c r="AZ63" i="1" s="1"/>
  <c r="AA645" i="1"/>
  <c r="T645" i="1"/>
  <c r="AB645" i="1"/>
  <c r="AU645" i="1" s="1"/>
  <c r="AA94" i="1"/>
  <c r="T94" i="1"/>
  <c r="AB94" i="1"/>
  <c r="AU94" i="1" s="1"/>
  <c r="AQ66" i="1"/>
  <c r="Q433" i="1"/>
  <c r="AO429" i="1"/>
  <c r="AO433" i="1" s="1"/>
  <c r="AA271" i="1"/>
  <c r="T271" i="1"/>
  <c r="AB271" i="1"/>
  <c r="AU271" i="1" s="1"/>
  <c r="Q385" i="1"/>
  <c r="AB536" i="1"/>
  <c r="AU536" i="1" s="1"/>
  <c r="AA536" i="1"/>
  <c r="T536" i="1"/>
  <c r="T409" i="1"/>
  <c r="AA409" i="1"/>
  <c r="AB409" i="1"/>
  <c r="AU409" i="1" s="1"/>
  <c r="AT660" i="1"/>
  <c r="AG660" i="1"/>
  <c r="AZ660" i="1" s="1"/>
  <c r="AB804" i="1"/>
  <c r="AU804" i="1" s="1"/>
  <c r="T804" i="1"/>
  <c r="AA804" i="1"/>
  <c r="T456" i="1"/>
  <c r="AB456" i="1"/>
  <c r="AU456" i="1" s="1"/>
  <c r="AA456" i="1"/>
  <c r="T790" i="1"/>
  <c r="AB790" i="1"/>
  <c r="AU790" i="1" s="1"/>
  <c r="AA790" i="1"/>
  <c r="T882" i="1"/>
  <c r="AB882" i="1"/>
  <c r="AU882" i="1" s="1"/>
  <c r="AA882" i="1"/>
  <c r="T486" i="1"/>
  <c r="AB486" i="1"/>
  <c r="AU486" i="1" s="1"/>
  <c r="AA486" i="1"/>
  <c r="AT598" i="1"/>
  <c r="AG598" i="1"/>
  <c r="AZ598" i="1" s="1"/>
  <c r="AA732" i="1"/>
  <c r="AB732" i="1"/>
  <c r="AU732" i="1" s="1"/>
  <c r="T732" i="1"/>
  <c r="AB70" i="1"/>
  <c r="AU70" i="1" s="1"/>
  <c r="AA70" i="1"/>
  <c r="T70" i="1"/>
  <c r="T178" i="1"/>
  <c r="AB178" i="1"/>
  <c r="AU178" i="1" s="1"/>
  <c r="AA178" i="1"/>
  <c r="AB181" i="1"/>
  <c r="AU181" i="1" s="1"/>
  <c r="AA181" i="1"/>
  <c r="T181" i="1"/>
  <c r="AA308" i="1"/>
  <c r="T308" i="1"/>
  <c r="AB308" i="1"/>
  <c r="AU308" i="1" s="1"/>
  <c r="R338" i="1"/>
  <c r="R358" i="1" s="1"/>
  <c r="AA415" i="1"/>
  <c r="T415" i="1"/>
  <c r="AB415" i="1"/>
  <c r="AU415" i="1" s="1"/>
  <c r="AA521" i="1"/>
  <c r="T521" i="1"/>
  <c r="AB521" i="1"/>
  <c r="AU521" i="1" s="1"/>
  <c r="AB576" i="1"/>
  <c r="AU576" i="1" s="1"/>
  <c r="AA576" i="1"/>
  <c r="T576" i="1"/>
  <c r="AT173" i="1"/>
  <c r="AG173" i="1"/>
  <c r="AZ173" i="1" s="1"/>
  <c r="AA740" i="1"/>
  <c r="AB740" i="1"/>
  <c r="AU740" i="1" s="1"/>
  <c r="T740" i="1"/>
  <c r="AF66" i="1"/>
  <c r="AF74" i="1" s="1"/>
  <c r="X67" i="1"/>
  <c r="S67" i="1"/>
  <c r="R67" i="1"/>
  <c r="Q67" i="1"/>
  <c r="P73" i="1"/>
  <c r="P74" i="1" s="1"/>
  <c r="T234" i="1"/>
  <c r="AB234" i="1"/>
  <c r="AU234" i="1" s="1"/>
  <c r="AA234" i="1"/>
  <c r="AA581" i="1"/>
  <c r="T581" i="1"/>
  <c r="AB581" i="1"/>
  <c r="AU581" i="1" s="1"/>
  <c r="AT478" i="1"/>
  <c r="AG478" i="1"/>
  <c r="AZ478" i="1" s="1"/>
  <c r="AT692" i="1"/>
  <c r="AG692" i="1"/>
  <c r="AZ692" i="1" s="1"/>
  <c r="AP7" i="1"/>
  <c r="AP17" i="1" s="1"/>
  <c r="R17" i="1"/>
  <c r="AA342" i="1"/>
  <c r="T342" i="1"/>
  <c r="AB342" i="1"/>
  <c r="AU342" i="1" s="1"/>
  <c r="AT462" i="1"/>
  <c r="AG462" i="1"/>
  <c r="AZ462" i="1" s="1"/>
  <c r="AT719" i="1"/>
  <c r="AG719" i="1"/>
  <c r="AZ719" i="1" s="1"/>
  <c r="AT723" i="1"/>
  <c r="AG723" i="1"/>
  <c r="AZ723" i="1" s="1"/>
  <c r="AT348" i="1"/>
  <c r="AG348" i="1"/>
  <c r="AZ348" i="1" s="1"/>
  <c r="AB441" i="1"/>
  <c r="AU441" i="1" s="1"/>
  <c r="AA441" i="1"/>
  <c r="T441" i="1"/>
  <c r="AT411" i="1"/>
  <c r="AG411" i="1"/>
  <c r="AZ411" i="1" s="1"/>
  <c r="AT920" i="1"/>
  <c r="AG920" i="1"/>
  <c r="AZ920" i="1" s="1"/>
  <c r="V931" i="1"/>
  <c r="T273" i="1"/>
  <c r="AB273" i="1"/>
  <c r="AU273" i="1" s="1"/>
  <c r="AA273" i="1"/>
  <c r="T340" i="1"/>
  <c r="AB340" i="1"/>
  <c r="AU340" i="1" s="1"/>
  <c r="AA340" i="1"/>
  <c r="R604" i="1"/>
  <c r="AT500" i="1"/>
  <c r="AG500" i="1"/>
  <c r="AZ500" i="1" s="1"/>
  <c r="T394" i="1"/>
  <c r="AB394" i="1"/>
  <c r="AU394" i="1" s="1"/>
  <c r="AA394" i="1"/>
  <c r="AT553" i="1"/>
  <c r="AG553" i="1"/>
  <c r="AZ553" i="1" s="1"/>
  <c r="AT449" i="1"/>
  <c r="AG449" i="1"/>
  <c r="AZ449" i="1" s="1"/>
  <c r="AT550" i="1"/>
  <c r="AG550" i="1"/>
  <c r="AZ550" i="1" s="1"/>
  <c r="AT511" i="1"/>
  <c r="AG511" i="1"/>
  <c r="AZ511" i="1" s="1"/>
  <c r="AT503" i="1"/>
  <c r="AG503" i="1"/>
  <c r="AZ503" i="1" s="1"/>
  <c r="AP611" i="1"/>
  <c r="AP614" i="1" s="1"/>
  <c r="R614" i="1"/>
  <c r="AT126" i="1"/>
  <c r="AG126" i="1"/>
  <c r="AZ126" i="1" s="1"/>
  <c r="P50" i="1"/>
  <c r="AA764" i="1"/>
  <c r="T764" i="1"/>
  <c r="AB764" i="1"/>
  <c r="AU764" i="1" s="1"/>
  <c r="AA191" i="1"/>
  <c r="T191" i="1"/>
  <c r="AB191" i="1"/>
  <c r="AU191" i="1" s="1"/>
  <c r="AG404" i="1" l="1"/>
  <c r="AZ404" i="1" s="1"/>
  <c r="Q218" i="1"/>
  <c r="X905" i="1"/>
  <c r="AQ50" i="1"/>
  <c r="S17" i="1"/>
  <c r="X923" i="1"/>
  <c r="T7" i="1"/>
  <c r="T17" i="1" s="1"/>
  <c r="AA66" i="1"/>
  <c r="R326" i="1"/>
  <c r="AT903" i="1"/>
  <c r="AG903" i="1"/>
  <c r="AZ903" i="1" s="1"/>
  <c r="AA7" i="1"/>
  <c r="T916" i="1"/>
  <c r="T133" i="1"/>
  <c r="Q134" i="1"/>
  <c r="X134" i="1"/>
  <c r="AQ358" i="1"/>
  <c r="AU385" i="1"/>
  <c r="AG625" i="1"/>
  <c r="AZ625" i="1" s="1"/>
  <c r="AT625" i="1"/>
  <c r="AT410" i="1"/>
  <c r="AG410" i="1"/>
  <c r="AZ410" i="1" s="1"/>
  <c r="AT383" i="1"/>
  <c r="AG383" i="1"/>
  <c r="AZ383" i="1" s="1"/>
  <c r="AP80" i="1"/>
  <c r="AP82" i="1" s="1"/>
  <c r="AP83" i="1" s="1"/>
  <c r="R82" i="1"/>
  <c r="R83" i="1" s="1"/>
  <c r="AT156" i="1"/>
  <c r="AG156" i="1"/>
  <c r="AZ156" i="1" s="1"/>
  <c r="AT884" i="1"/>
  <c r="AG884" i="1"/>
  <c r="AZ884" i="1" s="1"/>
  <c r="AT799" i="1"/>
  <c r="AG799" i="1"/>
  <c r="AZ799" i="1" s="1"/>
  <c r="AT653" i="1"/>
  <c r="AG653" i="1"/>
  <c r="AZ653" i="1" s="1"/>
  <c r="Q605" i="1"/>
  <c r="AB385" i="1"/>
  <c r="AP326" i="1"/>
  <c r="T614" i="1"/>
  <c r="AO218" i="1"/>
  <c r="AT265" i="1"/>
  <c r="AG265" i="1"/>
  <c r="AZ265" i="1" s="1"/>
  <c r="AT406" i="1"/>
  <c r="AG406" i="1"/>
  <c r="AZ406" i="1" s="1"/>
  <c r="AT148" i="1"/>
  <c r="AG148" i="1"/>
  <c r="AZ148" i="1" s="1"/>
  <c r="AT754" i="1"/>
  <c r="AG754" i="1"/>
  <c r="AZ754" i="1" s="1"/>
  <c r="AQ862" i="1"/>
  <c r="AQ863" i="1" s="1"/>
  <c r="X863" i="1"/>
  <c r="AT149" i="1"/>
  <c r="AG149" i="1"/>
  <c r="AZ149" i="1" s="1"/>
  <c r="AT19" i="1"/>
  <c r="AG19" i="1"/>
  <c r="AZ19" i="1" s="1"/>
  <c r="AT179" i="1"/>
  <c r="AG179" i="1"/>
  <c r="AZ179" i="1" s="1"/>
  <c r="AO924" i="1"/>
  <c r="AT407" i="1"/>
  <c r="AG407" i="1"/>
  <c r="AZ407" i="1" s="1"/>
  <c r="AT354" i="1"/>
  <c r="AG354" i="1"/>
  <c r="AZ354" i="1" s="1"/>
  <c r="AG651" i="1"/>
  <c r="AZ651" i="1" s="1"/>
  <c r="AT651" i="1"/>
  <c r="AP862" i="1"/>
  <c r="AP863" i="1" s="1"/>
  <c r="R863" i="1"/>
  <c r="AT630" i="1"/>
  <c r="AG630" i="1"/>
  <c r="AZ630" i="1" s="1"/>
  <c r="AT484" i="1"/>
  <c r="AG484" i="1"/>
  <c r="AZ484" i="1" s="1"/>
  <c r="T604" i="1"/>
  <c r="T605" i="1" s="1"/>
  <c r="R50" i="1"/>
  <c r="V932" i="1"/>
  <c r="T385" i="1"/>
  <c r="T49" i="1"/>
  <c r="Q923" i="1"/>
  <c r="Q924" i="1" s="1"/>
  <c r="Q294" i="1"/>
  <c r="AQ218" i="1"/>
  <c r="AO50" i="1"/>
  <c r="AB287" i="1"/>
  <c r="AU287" i="1" s="1"/>
  <c r="T287" i="1"/>
  <c r="T293" i="1" s="1"/>
  <c r="T294" i="1" s="1"/>
  <c r="AA287" i="1"/>
  <c r="AA293" i="1" s="1"/>
  <c r="AP918" i="1"/>
  <c r="AP923" i="1" s="1"/>
  <c r="AP924" i="1" s="1"/>
  <c r="R923" i="1"/>
  <c r="R924" i="1" s="1"/>
  <c r="AB862" i="1"/>
  <c r="AA862" i="1"/>
  <c r="S863" i="1"/>
  <c r="T862" i="1"/>
  <c r="T863" i="1" s="1"/>
  <c r="AT175" i="1"/>
  <c r="AG175" i="1"/>
  <c r="AZ175" i="1" s="1"/>
  <c r="AT769" i="1"/>
  <c r="AG769" i="1"/>
  <c r="AZ769" i="1" s="1"/>
  <c r="AG6" i="1"/>
  <c r="AZ6" i="1" s="1"/>
  <c r="AT6" i="1"/>
  <c r="X82" i="1"/>
  <c r="X83" i="1" s="1"/>
  <c r="AQ80" i="1"/>
  <c r="AQ82" i="1" s="1"/>
  <c r="AQ83" i="1" s="1"/>
  <c r="AT141" i="1"/>
  <c r="AG141" i="1"/>
  <c r="AZ141" i="1" s="1"/>
  <c r="AT257" i="1"/>
  <c r="AG257" i="1"/>
  <c r="AZ257" i="1" s="1"/>
  <c r="AT400" i="1"/>
  <c r="AG400" i="1"/>
  <c r="AZ400" i="1" s="1"/>
  <c r="AT739" i="1"/>
  <c r="AG739" i="1"/>
  <c r="AZ739" i="1" s="1"/>
  <c r="AT248" i="1"/>
  <c r="AG248" i="1"/>
  <c r="AZ248" i="1" s="1"/>
  <c r="T157" i="1"/>
  <c r="R218" i="1"/>
  <c r="AQ605" i="1"/>
  <c r="X218" i="1"/>
  <c r="AT848" i="1"/>
  <c r="AG848" i="1"/>
  <c r="AZ848" i="1" s="1"/>
  <c r="AT738" i="1"/>
  <c r="AG738" i="1"/>
  <c r="AZ738" i="1" s="1"/>
  <c r="AT654" i="1"/>
  <c r="AG654" i="1"/>
  <c r="AZ654" i="1" s="1"/>
  <c r="AG621" i="1"/>
  <c r="AZ621" i="1" s="1"/>
  <c r="AT621" i="1"/>
  <c r="T918" i="1"/>
  <c r="T923" i="1" s="1"/>
  <c r="T924" i="1" s="1"/>
  <c r="AB918" i="1"/>
  <c r="AU918" i="1" s="1"/>
  <c r="AA918" i="1"/>
  <c r="AA923" i="1" s="1"/>
  <c r="Q863" i="1"/>
  <c r="AO862" i="1"/>
  <c r="AO863" i="1" s="1"/>
  <c r="AT655" i="1"/>
  <c r="AG655" i="1"/>
  <c r="AZ655" i="1" s="1"/>
  <c r="AT472" i="1"/>
  <c r="AG472" i="1"/>
  <c r="AZ472" i="1" s="1"/>
  <c r="AO80" i="1"/>
  <c r="AO82" i="1" s="1"/>
  <c r="AO83" i="1" s="1"/>
  <c r="Q82" i="1"/>
  <c r="Q83" i="1" s="1"/>
  <c r="AB80" i="1"/>
  <c r="AA80" i="1"/>
  <c r="T80" i="1"/>
  <c r="T82" i="1" s="1"/>
  <c r="T83" i="1" s="1"/>
  <c r="S82" i="1"/>
  <c r="S83" i="1" s="1"/>
  <c r="AT759" i="1"/>
  <c r="AG759" i="1"/>
  <c r="AZ759" i="1" s="1"/>
  <c r="S923" i="1"/>
  <c r="S924" i="1" s="1"/>
  <c r="AG652" i="1"/>
  <c r="AZ652" i="1" s="1"/>
  <c r="AT652" i="1"/>
  <c r="AT261" i="1"/>
  <c r="AG261" i="1"/>
  <c r="AZ261" i="1" s="1"/>
  <c r="AT578" i="1"/>
  <c r="AG578" i="1"/>
  <c r="AZ578" i="1" s="1"/>
  <c r="AT732" i="1"/>
  <c r="AG732" i="1"/>
  <c r="AZ732" i="1" s="1"/>
  <c r="AB217" i="1"/>
  <c r="AU216" i="1"/>
  <c r="AU217" i="1" s="1"/>
  <c r="Q207" i="1"/>
  <c r="Q208" i="1" s="1"/>
  <c r="AO199" i="1"/>
  <c r="AO207" i="1" s="1"/>
  <c r="AO208" i="1" s="1"/>
  <c r="AT48" i="1"/>
  <c r="AG48" i="1"/>
  <c r="AZ48" i="1" s="1"/>
  <c r="X50" i="1"/>
  <c r="AT189" i="1"/>
  <c r="AG189" i="1"/>
  <c r="AZ189" i="1" s="1"/>
  <c r="X861" i="1"/>
  <c r="X864" i="1" s="1"/>
  <c r="AQ819" i="1"/>
  <c r="AQ861" i="1" s="1"/>
  <c r="AT790" i="1"/>
  <c r="AG790" i="1"/>
  <c r="AZ790" i="1" s="1"/>
  <c r="AT419" i="1"/>
  <c r="AG419" i="1"/>
  <c r="AZ419" i="1" s="1"/>
  <c r="AT497" i="1"/>
  <c r="AG497" i="1"/>
  <c r="AZ497" i="1" s="1"/>
  <c r="AT858" i="1"/>
  <c r="AG858" i="1"/>
  <c r="AZ858" i="1" s="1"/>
  <c r="AT469" i="1"/>
  <c r="AG469" i="1"/>
  <c r="AZ469" i="1" s="1"/>
  <c r="AT343" i="1"/>
  <c r="AG343" i="1"/>
  <c r="AZ343" i="1" s="1"/>
  <c r="AT874" i="1"/>
  <c r="AG874" i="1"/>
  <c r="AZ874" i="1" s="1"/>
  <c r="AT254" i="1"/>
  <c r="AG254" i="1"/>
  <c r="AZ254" i="1" s="1"/>
  <c r="AT401" i="1"/>
  <c r="AG401" i="1"/>
  <c r="AZ401" i="1" s="1"/>
  <c r="AT718" i="1"/>
  <c r="AG718" i="1"/>
  <c r="AZ718" i="1" s="1"/>
  <c r="AT552" i="1"/>
  <c r="AG552" i="1"/>
  <c r="AZ552" i="1" s="1"/>
  <c r="AU7" i="1"/>
  <c r="AU17" i="1" s="1"/>
  <c r="AB17" i="1"/>
  <c r="AT744" i="1"/>
  <c r="AG744" i="1"/>
  <c r="AZ744" i="1" s="1"/>
  <c r="V936" i="1"/>
  <c r="AT748" i="1"/>
  <c r="AG748" i="1"/>
  <c r="AZ748" i="1" s="1"/>
  <c r="AT786" i="1"/>
  <c r="AG786" i="1"/>
  <c r="AZ786" i="1" s="1"/>
  <c r="AT540" i="1"/>
  <c r="AG540" i="1"/>
  <c r="AZ540" i="1" s="1"/>
  <c r="AT120" i="1"/>
  <c r="AG120" i="1"/>
  <c r="AZ120" i="1" s="1"/>
  <c r="T392" i="1"/>
  <c r="T396" i="1" s="1"/>
  <c r="S396" i="1"/>
  <c r="AB392" i="1"/>
  <c r="AA392" i="1"/>
  <c r="Q192" i="1"/>
  <c r="Q193" i="1" s="1"/>
  <c r="AO158" i="1"/>
  <c r="AO192" i="1" s="1"/>
  <c r="AO193" i="1" s="1"/>
  <c r="AT547" i="1"/>
  <c r="AG547" i="1"/>
  <c r="AZ547" i="1" s="1"/>
  <c r="AT58" i="1"/>
  <c r="AG58" i="1"/>
  <c r="AZ58" i="1" s="1"/>
  <c r="AA286" i="1"/>
  <c r="AT285" i="1"/>
  <c r="AT286" i="1" s="1"/>
  <c r="AG285" i="1"/>
  <c r="AT379" i="1"/>
  <c r="AG379" i="1"/>
  <c r="AZ379" i="1" s="1"/>
  <c r="AT737" i="1"/>
  <c r="AG737" i="1"/>
  <c r="AZ737" i="1" s="1"/>
  <c r="AB325" i="1"/>
  <c r="AU323" i="1"/>
  <c r="AU325" i="1" s="1"/>
  <c r="AQ294" i="1"/>
  <c r="S35" i="1"/>
  <c r="AB18" i="1"/>
  <c r="AA18" i="1"/>
  <c r="T18" i="1"/>
  <c r="T35" i="1" s="1"/>
  <c r="AT132" i="1"/>
  <c r="AG132" i="1"/>
  <c r="AZ132" i="1" s="1"/>
  <c r="AB365" i="1"/>
  <c r="T365" i="1"/>
  <c r="T371" i="1" s="1"/>
  <c r="AA365" i="1"/>
  <c r="S371" i="1"/>
  <c r="S386" i="1" s="1"/>
  <c r="AT704" i="1"/>
  <c r="AG704" i="1"/>
  <c r="AZ704" i="1" s="1"/>
  <c r="AT353" i="1"/>
  <c r="AG353" i="1"/>
  <c r="AZ353" i="1" s="1"/>
  <c r="AT539" i="1"/>
  <c r="AG539" i="1"/>
  <c r="AZ539" i="1" s="1"/>
  <c r="AT116" i="1"/>
  <c r="AG116" i="1"/>
  <c r="AZ116" i="1" s="1"/>
  <c r="AT22" i="1"/>
  <c r="AG22" i="1"/>
  <c r="AZ22" i="1" s="1"/>
  <c r="AT800" i="1"/>
  <c r="AG800" i="1"/>
  <c r="AZ800" i="1" s="1"/>
  <c r="AT728" i="1"/>
  <c r="AG728" i="1"/>
  <c r="AZ728" i="1" s="1"/>
  <c r="Q810" i="1"/>
  <c r="Q812" i="1" s="1"/>
  <c r="AO669" i="1"/>
  <c r="AO810" i="1" s="1"/>
  <c r="AT569" i="1"/>
  <c r="AG569" i="1"/>
  <c r="AZ569" i="1" s="1"/>
  <c r="AT121" i="1"/>
  <c r="AG121" i="1"/>
  <c r="AZ121" i="1" s="1"/>
  <c r="AP218" i="1"/>
  <c r="AT871" i="1"/>
  <c r="AG871" i="1"/>
  <c r="AZ871" i="1" s="1"/>
  <c r="AO294" i="1"/>
  <c r="T870" i="1"/>
  <c r="T887" i="1" s="1"/>
  <c r="T888" i="1" s="1"/>
  <c r="S887" i="1"/>
  <c r="S888" i="1" s="1"/>
  <c r="AB870" i="1"/>
  <c r="AA870" i="1"/>
  <c r="AT535" i="1"/>
  <c r="AG535" i="1"/>
  <c r="AZ535" i="1" s="1"/>
  <c r="AX937" i="1"/>
  <c r="AT851" i="1"/>
  <c r="AG851" i="1"/>
  <c r="AZ851" i="1" s="1"/>
  <c r="AT671" i="1"/>
  <c r="AG671" i="1"/>
  <c r="AZ671" i="1" s="1"/>
  <c r="AT309" i="1"/>
  <c r="AG309" i="1"/>
  <c r="AZ309" i="1" s="1"/>
  <c r="AT96" i="1"/>
  <c r="AG96" i="1"/>
  <c r="AZ96" i="1" s="1"/>
  <c r="AT467" i="1"/>
  <c r="AG467" i="1"/>
  <c r="AZ467" i="1" s="1"/>
  <c r="Y278" i="1"/>
  <c r="Y932" i="1" s="1"/>
  <c r="Y931" i="1"/>
  <c r="Y936" i="1" s="1"/>
  <c r="AT724" i="1"/>
  <c r="AG724" i="1"/>
  <c r="AZ724" i="1" s="1"/>
  <c r="AT706" i="1"/>
  <c r="AG706" i="1"/>
  <c r="AZ706" i="1" s="1"/>
  <c r="AT453" i="1"/>
  <c r="AG453" i="1"/>
  <c r="AZ453" i="1" s="1"/>
  <c r="AT749" i="1"/>
  <c r="AG749" i="1"/>
  <c r="AZ749" i="1" s="1"/>
  <c r="AT394" i="1"/>
  <c r="AG394" i="1"/>
  <c r="AZ394" i="1" s="1"/>
  <c r="AT581" i="1"/>
  <c r="AG581" i="1"/>
  <c r="AZ581" i="1" s="1"/>
  <c r="AT178" i="1"/>
  <c r="AG178" i="1"/>
  <c r="AZ178" i="1" s="1"/>
  <c r="AT729" i="1"/>
  <c r="AG729" i="1"/>
  <c r="AZ729" i="1" s="1"/>
  <c r="AT656" i="1"/>
  <c r="AG656" i="1"/>
  <c r="AZ656" i="1" s="1"/>
  <c r="AT825" i="1"/>
  <c r="AG825" i="1"/>
  <c r="AZ825" i="1" s="1"/>
  <c r="AT921" i="1"/>
  <c r="AG921" i="1"/>
  <c r="AZ921" i="1" s="1"/>
  <c r="AT879" i="1"/>
  <c r="AG879" i="1"/>
  <c r="AZ879" i="1" s="1"/>
  <c r="AT266" i="1"/>
  <c r="AG266" i="1"/>
  <c r="AZ266" i="1" s="1"/>
  <c r="AT772" i="1"/>
  <c r="AG772" i="1"/>
  <c r="AZ772" i="1" s="1"/>
  <c r="AU429" i="1"/>
  <c r="AU433" i="1" s="1"/>
  <c r="AB433" i="1"/>
  <c r="AA226" i="1"/>
  <c r="AT224" i="1"/>
  <c r="AT226" i="1" s="1"/>
  <c r="AG224" i="1"/>
  <c r="AT91" i="1"/>
  <c r="AG91" i="1"/>
  <c r="AZ91" i="1" s="1"/>
  <c r="AT176" i="1"/>
  <c r="AG176" i="1"/>
  <c r="AZ176" i="1" s="1"/>
  <c r="AT710" i="1"/>
  <c r="AG710" i="1"/>
  <c r="AZ710" i="1" s="1"/>
  <c r="AB357" i="1"/>
  <c r="AU339" i="1"/>
  <c r="AU357" i="1" s="1"/>
  <c r="AU358" i="1" s="1"/>
  <c r="AT161" i="1"/>
  <c r="AG161" i="1"/>
  <c r="AZ161" i="1" s="1"/>
  <c r="AT881" i="1"/>
  <c r="AG881" i="1"/>
  <c r="AZ881" i="1" s="1"/>
  <c r="AT712" i="1"/>
  <c r="AG712" i="1"/>
  <c r="AZ712" i="1" s="1"/>
  <c r="AT202" i="1"/>
  <c r="AG202" i="1"/>
  <c r="AZ202" i="1" s="1"/>
  <c r="AT659" i="1"/>
  <c r="AG659" i="1"/>
  <c r="AZ659" i="1" s="1"/>
  <c r="AT753" i="1"/>
  <c r="AG753" i="1"/>
  <c r="AZ753" i="1" s="1"/>
  <c r="AT21" i="1"/>
  <c r="AG21" i="1"/>
  <c r="AZ21" i="1" s="1"/>
  <c r="AT579" i="1"/>
  <c r="AG579" i="1"/>
  <c r="AZ579" i="1" s="1"/>
  <c r="AT571" i="1"/>
  <c r="AG571" i="1"/>
  <c r="AZ571" i="1" s="1"/>
  <c r="AT682" i="1"/>
  <c r="AG682" i="1"/>
  <c r="AZ682" i="1" s="1"/>
  <c r="AT588" i="1"/>
  <c r="AG588" i="1"/>
  <c r="AZ588" i="1" s="1"/>
  <c r="AT745" i="1"/>
  <c r="AG745" i="1"/>
  <c r="AZ745" i="1" s="1"/>
  <c r="AT368" i="1"/>
  <c r="AG368" i="1"/>
  <c r="AZ368" i="1" s="1"/>
  <c r="AF930" i="1"/>
  <c r="AF936" i="1" s="1"/>
  <c r="AF36" i="1"/>
  <c r="AF932" i="1" s="1"/>
  <c r="AT230" i="1"/>
  <c r="AG230" i="1"/>
  <c r="AZ230" i="1" s="1"/>
  <c r="AT441" i="1"/>
  <c r="AG441" i="1"/>
  <c r="AZ441" i="1" s="1"/>
  <c r="AT486" i="1"/>
  <c r="AG486" i="1"/>
  <c r="AZ486" i="1" s="1"/>
  <c r="AT645" i="1"/>
  <c r="AG645" i="1"/>
  <c r="AZ645" i="1" s="1"/>
  <c r="AT873" i="1"/>
  <c r="AG873" i="1"/>
  <c r="AZ873" i="1" s="1"/>
  <c r="AT688" i="1"/>
  <c r="AG688" i="1"/>
  <c r="AZ688" i="1" s="1"/>
  <c r="AY930" i="1"/>
  <c r="AY936" i="1" s="1"/>
  <c r="AY36" i="1"/>
  <c r="AY932" i="1" s="1"/>
  <c r="AT684" i="1"/>
  <c r="AG684" i="1"/>
  <c r="AZ684" i="1" s="1"/>
  <c r="AT514" i="1"/>
  <c r="AG514" i="1"/>
  <c r="AZ514" i="1" s="1"/>
  <c r="AT200" i="1"/>
  <c r="AG200" i="1"/>
  <c r="AZ200" i="1" s="1"/>
  <c r="AT381" i="1"/>
  <c r="AG381" i="1"/>
  <c r="AZ381" i="1" s="1"/>
  <c r="AT580" i="1"/>
  <c r="AG580" i="1"/>
  <c r="AZ580" i="1" s="1"/>
  <c r="T357" i="1"/>
  <c r="AT108" i="1"/>
  <c r="AG108" i="1"/>
  <c r="AZ108" i="1" s="1"/>
  <c r="AZ397" i="1"/>
  <c r="AT709" i="1"/>
  <c r="AG709" i="1"/>
  <c r="AZ709" i="1" s="1"/>
  <c r="Q277" i="1"/>
  <c r="Q278" i="1" s="1"/>
  <c r="AO227" i="1"/>
  <c r="AO277" i="1" s="1"/>
  <c r="AO278" i="1" s="1"/>
  <c r="AT885" i="1"/>
  <c r="AG885" i="1"/>
  <c r="AZ885" i="1" s="1"/>
  <c r="P930" i="1"/>
  <c r="AT374" i="1"/>
  <c r="AG374" i="1"/>
  <c r="AZ374" i="1" s="1"/>
  <c r="AT693" i="1"/>
  <c r="AG693" i="1"/>
  <c r="AZ693" i="1" s="1"/>
  <c r="AT290" i="1"/>
  <c r="AG290" i="1"/>
  <c r="AZ290" i="1" s="1"/>
  <c r="AT686" i="1"/>
  <c r="AG686" i="1"/>
  <c r="AZ686" i="1" s="1"/>
  <c r="AA215" i="1"/>
  <c r="AT214" i="1"/>
  <c r="AT215" i="1" s="1"/>
  <c r="AG214" i="1"/>
  <c r="AT548" i="1"/>
  <c r="AG548" i="1"/>
  <c r="AZ548" i="1" s="1"/>
  <c r="AT795" i="1"/>
  <c r="AG795" i="1"/>
  <c r="AZ795" i="1" s="1"/>
  <c r="P423" i="1"/>
  <c r="R192" i="1"/>
  <c r="R193" i="1" s="1"/>
  <c r="AP158" i="1"/>
  <c r="AP192" i="1" s="1"/>
  <c r="AP193" i="1" s="1"/>
  <c r="AT405" i="1"/>
  <c r="AG405" i="1"/>
  <c r="AZ405" i="1" s="1"/>
  <c r="AB286" i="1"/>
  <c r="AU285" i="1"/>
  <c r="AU286" i="1" s="1"/>
  <c r="AT312" i="1"/>
  <c r="AG312" i="1"/>
  <c r="AZ312" i="1" s="1"/>
  <c r="AT493" i="1"/>
  <c r="AG493" i="1"/>
  <c r="AZ493" i="1" s="1"/>
  <c r="AT246" i="1"/>
  <c r="AG246" i="1"/>
  <c r="AZ246" i="1" s="1"/>
  <c r="AT859" i="1"/>
  <c r="AG859" i="1"/>
  <c r="AZ859" i="1" s="1"/>
  <c r="P315" i="1"/>
  <c r="AT565" i="1"/>
  <c r="AG565" i="1"/>
  <c r="AZ565" i="1" s="1"/>
  <c r="AT768" i="1"/>
  <c r="AG768" i="1"/>
  <c r="AZ768" i="1" s="1"/>
  <c r="X294" i="1"/>
  <c r="X35" i="1"/>
  <c r="AQ18" i="1"/>
  <c r="AQ35" i="1" s="1"/>
  <c r="X371" i="1"/>
  <c r="X386" i="1" s="1"/>
  <c r="AQ365" i="1"/>
  <c r="AQ371" i="1" s="1"/>
  <c r="AQ386" i="1" s="1"/>
  <c r="AZ107" i="1"/>
  <c r="AT559" i="1"/>
  <c r="AG559" i="1"/>
  <c r="AZ559" i="1" s="1"/>
  <c r="AT734" i="1"/>
  <c r="AG734" i="1"/>
  <c r="AZ734" i="1" s="1"/>
  <c r="AT701" i="1"/>
  <c r="AG701" i="1"/>
  <c r="AZ701" i="1" s="1"/>
  <c r="AB338" i="1"/>
  <c r="X887" i="1"/>
  <c r="X888" i="1" s="1"/>
  <c r="AQ870" i="1"/>
  <c r="AQ887" i="1" s="1"/>
  <c r="AQ888" i="1" s="1"/>
  <c r="AT777" i="1"/>
  <c r="AG777" i="1"/>
  <c r="AZ777" i="1" s="1"/>
  <c r="AT611" i="1"/>
  <c r="AA614" i="1"/>
  <c r="AG611" i="1"/>
  <c r="Q861" i="1"/>
  <c r="AO819" i="1"/>
  <c r="AO861" i="1" s="1"/>
  <c r="AT808" i="1"/>
  <c r="AG808" i="1"/>
  <c r="AZ808" i="1" s="1"/>
  <c r="AT531" i="1"/>
  <c r="AG531" i="1"/>
  <c r="AZ531" i="1" s="1"/>
  <c r="AT713" i="1"/>
  <c r="AG713" i="1"/>
  <c r="AZ713" i="1" s="1"/>
  <c r="AT679" i="1"/>
  <c r="AG679" i="1"/>
  <c r="AZ679" i="1" s="1"/>
  <c r="AT807" i="1"/>
  <c r="AG807" i="1"/>
  <c r="AZ807" i="1" s="1"/>
  <c r="AU604" i="1"/>
  <c r="AT482" i="1"/>
  <c r="AG482" i="1"/>
  <c r="AZ482" i="1" s="1"/>
  <c r="AT24" i="1"/>
  <c r="AG24" i="1"/>
  <c r="AZ24" i="1" s="1"/>
  <c r="AT764" i="1"/>
  <c r="AG764" i="1"/>
  <c r="AZ764" i="1" s="1"/>
  <c r="AT415" i="1"/>
  <c r="AG415" i="1"/>
  <c r="AZ415" i="1" s="1"/>
  <c r="AT438" i="1"/>
  <c r="AG438" i="1"/>
  <c r="AZ438" i="1" s="1"/>
  <c r="AT698" i="1"/>
  <c r="AG698" i="1"/>
  <c r="AZ698" i="1" s="1"/>
  <c r="AT880" i="1"/>
  <c r="AG880" i="1"/>
  <c r="AZ880" i="1" s="1"/>
  <c r="Q314" i="1"/>
  <c r="AO305" i="1"/>
  <c r="AO314" i="1" s="1"/>
  <c r="AT593" i="1"/>
  <c r="AG593" i="1"/>
  <c r="AZ593" i="1" s="1"/>
  <c r="AT413" i="1"/>
  <c r="AG413" i="1"/>
  <c r="AZ413" i="1" s="1"/>
  <c r="AT445" i="1"/>
  <c r="AG445" i="1"/>
  <c r="AZ445" i="1" s="1"/>
  <c r="AO392" i="1"/>
  <c r="AO396" i="1" s="1"/>
  <c r="Q396" i="1"/>
  <c r="AT722" i="1"/>
  <c r="AG722" i="1"/>
  <c r="AZ722" i="1" s="1"/>
  <c r="AT922" i="1"/>
  <c r="AG922" i="1"/>
  <c r="AZ922" i="1" s="1"/>
  <c r="AT726" i="1"/>
  <c r="AG726" i="1"/>
  <c r="AZ726" i="1" s="1"/>
  <c r="AT99" i="1"/>
  <c r="AG99" i="1"/>
  <c r="AZ99" i="1" s="1"/>
  <c r="AT162" i="1"/>
  <c r="AG162" i="1"/>
  <c r="AZ162" i="1" s="1"/>
  <c r="AU143" i="1"/>
  <c r="AU157" i="1" s="1"/>
  <c r="AB157" i="1"/>
  <c r="AT243" i="1"/>
  <c r="AG243" i="1"/>
  <c r="AZ243" i="1" s="1"/>
  <c r="AT703" i="1"/>
  <c r="AG703" i="1"/>
  <c r="AZ703" i="1" s="1"/>
  <c r="AT15" i="1"/>
  <c r="AG15" i="1"/>
  <c r="AZ15" i="1" s="1"/>
  <c r="AT30" i="1"/>
  <c r="AG30" i="1"/>
  <c r="AZ30" i="1" s="1"/>
  <c r="AP392" i="1"/>
  <c r="AP396" i="1" s="1"/>
  <c r="R396" i="1"/>
  <c r="AA325" i="1"/>
  <c r="AT323" i="1"/>
  <c r="AT325" i="1" s="1"/>
  <c r="AG323" i="1"/>
  <c r="AT568" i="1"/>
  <c r="AG568" i="1"/>
  <c r="AZ568" i="1" s="1"/>
  <c r="AT412" i="1"/>
  <c r="AG412" i="1"/>
  <c r="AZ412" i="1" s="1"/>
  <c r="AT447" i="1"/>
  <c r="AG447" i="1"/>
  <c r="AZ447" i="1" s="1"/>
  <c r="AT448" i="1"/>
  <c r="AG448" i="1"/>
  <c r="AZ448" i="1" s="1"/>
  <c r="AA639" i="1"/>
  <c r="AT638" i="1"/>
  <c r="AT639" i="1" s="1"/>
  <c r="AG638" i="1"/>
  <c r="AT308" i="1"/>
  <c r="AG308" i="1"/>
  <c r="AZ308" i="1" s="1"/>
  <c r="AU638" i="1"/>
  <c r="AU639" i="1" s="1"/>
  <c r="AB639" i="1"/>
  <c r="AT613" i="1"/>
  <c r="AG613" i="1"/>
  <c r="AZ613" i="1" s="1"/>
  <c r="AA305" i="1"/>
  <c r="S314" i="1"/>
  <c r="T305" i="1"/>
  <c r="T314" i="1" s="1"/>
  <c r="AB305" i="1"/>
  <c r="AQ398" i="1"/>
  <c r="AQ422" i="1" s="1"/>
  <c r="X422" i="1"/>
  <c r="AT670" i="1"/>
  <c r="AG670" i="1"/>
  <c r="AZ670" i="1" s="1"/>
  <c r="AT842" i="1"/>
  <c r="AG842" i="1"/>
  <c r="AZ842" i="1" s="1"/>
  <c r="AU923" i="1"/>
  <c r="AT647" i="1"/>
  <c r="AG647" i="1"/>
  <c r="AZ647" i="1" s="1"/>
  <c r="AT356" i="1"/>
  <c r="AG356" i="1"/>
  <c r="AZ356" i="1" s="1"/>
  <c r="AT289" i="1"/>
  <c r="AG289" i="1"/>
  <c r="AZ289" i="1" s="1"/>
  <c r="R277" i="1"/>
  <c r="R278" i="1" s="1"/>
  <c r="AP227" i="1"/>
  <c r="AP277" i="1" s="1"/>
  <c r="AP278" i="1" s="1"/>
  <c r="AT306" i="1"/>
  <c r="AG306" i="1"/>
  <c r="AZ306" i="1" s="1"/>
  <c r="AT101" i="1"/>
  <c r="AG101" i="1"/>
  <c r="AZ101" i="1" s="1"/>
  <c r="AT165" i="1"/>
  <c r="AG165" i="1"/>
  <c r="AZ165" i="1" s="1"/>
  <c r="AB215" i="1"/>
  <c r="AU214" i="1"/>
  <c r="AU215" i="1" s="1"/>
  <c r="AU218" i="1" s="1"/>
  <c r="X631" i="1"/>
  <c r="X632" i="1" s="1"/>
  <c r="AQ616" i="1"/>
  <c r="AQ631" i="1" s="1"/>
  <c r="AQ632" i="1" s="1"/>
  <c r="AT556" i="1"/>
  <c r="AG556" i="1"/>
  <c r="AZ556" i="1" s="1"/>
  <c r="X192" i="1"/>
  <c r="X193" i="1" s="1"/>
  <c r="AQ158" i="1"/>
  <c r="AQ192" i="1" s="1"/>
  <c r="AQ193" i="1" s="1"/>
  <c r="AG302" i="1"/>
  <c r="AZ302" i="1" s="1"/>
  <c r="S294" i="1"/>
  <c r="AT105" i="1"/>
  <c r="AG105" i="1"/>
  <c r="AZ105" i="1" s="1"/>
  <c r="AT599" i="1"/>
  <c r="AG599" i="1"/>
  <c r="AZ599" i="1" s="1"/>
  <c r="AU133" i="1"/>
  <c r="AT776" i="1"/>
  <c r="AG776" i="1"/>
  <c r="AZ776" i="1" s="1"/>
  <c r="AT477" i="1"/>
  <c r="AG477" i="1"/>
  <c r="AZ477" i="1" s="1"/>
  <c r="AT235" i="1"/>
  <c r="AG235" i="1"/>
  <c r="AZ235" i="1" s="1"/>
  <c r="AB106" i="1"/>
  <c r="AU89" i="1"/>
  <c r="AU106" i="1" s="1"/>
  <c r="AU134" i="1" s="1"/>
  <c r="AT695" i="1"/>
  <c r="AG695" i="1"/>
  <c r="AZ695" i="1" s="1"/>
  <c r="AT733" i="1"/>
  <c r="AG733" i="1"/>
  <c r="AZ733" i="1" s="1"/>
  <c r="T898" i="1"/>
  <c r="AQ301" i="1"/>
  <c r="AQ304" i="1" s="1"/>
  <c r="X304" i="1"/>
  <c r="AT827" i="1"/>
  <c r="AG827" i="1"/>
  <c r="AZ827" i="1" s="1"/>
  <c r="Q35" i="1"/>
  <c r="Q36" i="1" s="1"/>
  <c r="AO18" i="1"/>
  <c r="AO35" i="1" s="1"/>
  <c r="AT204" i="1"/>
  <c r="AG204" i="1"/>
  <c r="AZ204" i="1" s="1"/>
  <c r="AT10" i="1"/>
  <c r="AG10" i="1"/>
  <c r="AZ10" i="1" s="1"/>
  <c r="AT160" i="1"/>
  <c r="AG160" i="1"/>
  <c r="AZ160" i="1" s="1"/>
  <c r="AT919" i="1"/>
  <c r="AG919" i="1"/>
  <c r="AZ919" i="1" s="1"/>
  <c r="AT373" i="1"/>
  <c r="AG373" i="1"/>
  <c r="AZ373" i="1" s="1"/>
  <c r="AT367" i="1"/>
  <c r="AG367" i="1"/>
  <c r="AZ367" i="1" s="1"/>
  <c r="AT131" i="1"/>
  <c r="AG131" i="1"/>
  <c r="AZ131" i="1" s="1"/>
  <c r="AT584" i="1"/>
  <c r="AG584" i="1"/>
  <c r="AZ584" i="1" s="1"/>
  <c r="T326" i="1"/>
  <c r="AZ300" i="1"/>
  <c r="AT499" i="1"/>
  <c r="AG499" i="1"/>
  <c r="AZ499" i="1" s="1"/>
  <c r="AT785" i="1"/>
  <c r="AG785" i="1"/>
  <c r="AZ785" i="1" s="1"/>
  <c r="AT756" i="1"/>
  <c r="AG756" i="1"/>
  <c r="AZ756" i="1" s="1"/>
  <c r="AO870" i="1"/>
  <c r="AO887" i="1" s="1"/>
  <c r="AO888" i="1" s="1"/>
  <c r="Q887" i="1"/>
  <c r="Q888" i="1" s="1"/>
  <c r="AT643" i="1"/>
  <c r="AG643" i="1"/>
  <c r="AZ643" i="1" s="1"/>
  <c r="AU611" i="1"/>
  <c r="AU614" i="1" s="1"/>
  <c r="AB614" i="1"/>
  <c r="AP294" i="1"/>
  <c r="AT781" i="1"/>
  <c r="AG781" i="1"/>
  <c r="AZ781" i="1" s="1"/>
  <c r="AT334" i="1"/>
  <c r="AG334" i="1"/>
  <c r="AZ334" i="1" s="1"/>
  <c r="AA338" i="1"/>
  <c r="AT485" i="1"/>
  <c r="AG485" i="1"/>
  <c r="AZ485" i="1" s="1"/>
  <c r="AT350" i="1"/>
  <c r="AG350" i="1"/>
  <c r="AZ350" i="1" s="1"/>
  <c r="AT494" i="1"/>
  <c r="AG494" i="1"/>
  <c r="AZ494" i="1" s="1"/>
  <c r="AT523" i="1"/>
  <c r="AG523" i="1"/>
  <c r="AZ523" i="1" s="1"/>
  <c r="AT877" i="1"/>
  <c r="AG877" i="1"/>
  <c r="AZ877" i="1" s="1"/>
  <c r="AA67" i="1"/>
  <c r="S73" i="1"/>
  <c r="S74" i="1" s="1"/>
  <c r="T67" i="1"/>
  <c r="T73" i="1" s="1"/>
  <c r="T74" i="1" s="1"/>
  <c r="AB67" i="1"/>
  <c r="AZ917" i="1"/>
  <c r="AT853" i="1"/>
  <c r="AG853" i="1"/>
  <c r="AZ853" i="1" s="1"/>
  <c r="AP640" i="1"/>
  <c r="AP661" i="1" s="1"/>
  <c r="AP662" i="1" s="1"/>
  <c r="R661" i="1"/>
  <c r="R662" i="1" s="1"/>
  <c r="AT527" i="1"/>
  <c r="AG527" i="1"/>
  <c r="AZ527" i="1" s="1"/>
  <c r="T616" i="1"/>
  <c r="T631" i="1" s="1"/>
  <c r="T632" i="1" s="1"/>
  <c r="AB616" i="1"/>
  <c r="S631" i="1"/>
  <c r="S632" i="1" s="1"/>
  <c r="AA616" i="1"/>
  <c r="AT130" i="1"/>
  <c r="AG130" i="1"/>
  <c r="AZ130" i="1" s="1"/>
  <c r="AT416" i="1"/>
  <c r="AG416" i="1"/>
  <c r="AZ416" i="1" s="1"/>
  <c r="AT71" i="1"/>
  <c r="AG71" i="1"/>
  <c r="AZ71" i="1" s="1"/>
  <c r="AA904" i="1"/>
  <c r="AT899" i="1"/>
  <c r="AG899" i="1"/>
  <c r="AT273" i="1"/>
  <c r="AG273" i="1"/>
  <c r="AZ273" i="1" s="1"/>
  <c r="AT576" i="1"/>
  <c r="AG576" i="1"/>
  <c r="AZ576" i="1" s="1"/>
  <c r="AT468" i="1"/>
  <c r="AG468" i="1"/>
  <c r="AZ468" i="1" s="1"/>
  <c r="AT347" i="1"/>
  <c r="AG347" i="1"/>
  <c r="AZ347" i="1" s="1"/>
  <c r="X277" i="1"/>
  <c r="X278" i="1" s="1"/>
  <c r="AQ227" i="1"/>
  <c r="AQ277" i="1" s="1"/>
  <c r="AQ278" i="1" s="1"/>
  <c r="AT641" i="1"/>
  <c r="AG641" i="1"/>
  <c r="AZ641" i="1" s="1"/>
  <c r="AP365" i="1"/>
  <c r="AP371" i="1" s="1"/>
  <c r="AP386" i="1" s="1"/>
  <c r="R371" i="1"/>
  <c r="R386" i="1" s="1"/>
  <c r="AT188" i="1"/>
  <c r="AG188" i="1"/>
  <c r="AZ188" i="1" s="1"/>
  <c r="AT250" i="1"/>
  <c r="AG250" i="1"/>
  <c r="AZ250" i="1" s="1"/>
  <c r="AR278" i="1"/>
  <c r="AR932" i="1" s="1"/>
  <c r="AR931" i="1"/>
  <c r="AR936" i="1" s="1"/>
  <c r="AT28" i="1"/>
  <c r="AG28" i="1"/>
  <c r="AZ28" i="1" s="1"/>
  <c r="AT70" i="1"/>
  <c r="AG70" i="1"/>
  <c r="AZ70" i="1" s="1"/>
  <c r="AT456" i="1"/>
  <c r="AG456" i="1"/>
  <c r="AZ456" i="1" s="1"/>
  <c r="Q73" i="1"/>
  <c r="AO67" i="1"/>
  <c r="AO73" i="1" s="1"/>
  <c r="AO74" i="1" s="1"/>
  <c r="AT740" i="1"/>
  <c r="AG740" i="1"/>
  <c r="AZ740" i="1" s="1"/>
  <c r="AT521" i="1"/>
  <c r="AG521" i="1"/>
  <c r="AZ521" i="1" s="1"/>
  <c r="AT256" i="1"/>
  <c r="AG256" i="1"/>
  <c r="AZ256" i="1" s="1"/>
  <c r="AO605" i="1"/>
  <c r="AT897" i="1"/>
  <c r="AG897" i="1"/>
  <c r="AZ897" i="1" s="1"/>
  <c r="AT244" i="1"/>
  <c r="AG244" i="1"/>
  <c r="AZ244" i="1" s="1"/>
  <c r="AT446" i="1"/>
  <c r="AG446" i="1"/>
  <c r="AZ446" i="1" s="1"/>
  <c r="AT352" i="1"/>
  <c r="AG352" i="1"/>
  <c r="AZ352" i="1" s="1"/>
  <c r="AO36" i="1"/>
  <c r="AQ305" i="1"/>
  <c r="AQ314" i="1" s="1"/>
  <c r="X314" i="1"/>
  <c r="AT683" i="1"/>
  <c r="AG683" i="1"/>
  <c r="AZ683" i="1" s="1"/>
  <c r="AT736" i="1"/>
  <c r="AG736" i="1"/>
  <c r="AZ736" i="1" s="1"/>
  <c r="AB923" i="1"/>
  <c r="AT711" i="1"/>
  <c r="AG711" i="1"/>
  <c r="AZ711" i="1" s="1"/>
  <c r="AT597" i="1"/>
  <c r="AG597" i="1"/>
  <c r="AZ597" i="1" s="1"/>
  <c r="X661" i="1"/>
  <c r="X662" i="1" s="1"/>
  <c r="AQ640" i="1"/>
  <c r="AQ661" i="1" s="1"/>
  <c r="AQ662" i="1" s="1"/>
  <c r="AT830" i="1"/>
  <c r="AG830" i="1"/>
  <c r="AZ830" i="1" s="1"/>
  <c r="AT672" i="1"/>
  <c r="AG672" i="1"/>
  <c r="AZ672" i="1" s="1"/>
  <c r="AT849" i="1"/>
  <c r="AG849" i="1"/>
  <c r="AZ849" i="1" s="1"/>
  <c r="AA49" i="1"/>
  <c r="AT45" i="1"/>
  <c r="AG45" i="1"/>
  <c r="AT119" i="1"/>
  <c r="AG119" i="1"/>
  <c r="AZ119" i="1" s="1"/>
  <c r="AT355" i="1"/>
  <c r="AG355" i="1"/>
  <c r="AZ355" i="1" s="1"/>
  <c r="AT857" i="1"/>
  <c r="AG857" i="1"/>
  <c r="AZ857" i="1" s="1"/>
  <c r="S218" i="1"/>
  <c r="AT779" i="1"/>
  <c r="AG779" i="1"/>
  <c r="AZ779" i="1" s="1"/>
  <c r="AU288" i="1"/>
  <c r="AT458" i="1"/>
  <c r="AG458" i="1"/>
  <c r="AZ458" i="1" s="1"/>
  <c r="AO616" i="1"/>
  <c r="AO631" i="1" s="1"/>
  <c r="AO632" i="1" s="1"/>
  <c r="Q631" i="1"/>
  <c r="Q632" i="1" s="1"/>
  <c r="AT437" i="1"/>
  <c r="AG437" i="1"/>
  <c r="AZ437" i="1" s="1"/>
  <c r="AT93" i="1"/>
  <c r="AG93" i="1"/>
  <c r="AZ93" i="1" s="1"/>
  <c r="Q326" i="1"/>
  <c r="AB133" i="1"/>
  <c r="AT502" i="1"/>
  <c r="AG502" i="1"/>
  <c r="AZ502" i="1" s="1"/>
  <c r="AT544" i="1"/>
  <c r="AG544" i="1"/>
  <c r="AZ544" i="1" s="1"/>
  <c r="AT124" i="1"/>
  <c r="AG124" i="1"/>
  <c r="AZ124" i="1" s="1"/>
  <c r="AT794" i="1"/>
  <c r="AG794" i="1"/>
  <c r="AZ794" i="1" s="1"/>
  <c r="AT577" i="1"/>
  <c r="AG577" i="1"/>
  <c r="AZ577" i="1" s="1"/>
  <c r="S134" i="1"/>
  <c r="AA916" i="1"/>
  <c r="AT914" i="1"/>
  <c r="AG914" i="1"/>
  <c r="AB898" i="1"/>
  <c r="AU895" i="1"/>
  <c r="AU898" i="1" s="1"/>
  <c r="AO301" i="1"/>
  <c r="AO304" i="1" s="1"/>
  <c r="Q304" i="1"/>
  <c r="AT110" i="1"/>
  <c r="AG110" i="1"/>
  <c r="AZ110" i="1" s="1"/>
  <c r="P931" i="1"/>
  <c r="P36" i="1"/>
  <c r="Q371" i="1"/>
  <c r="Q386" i="1" s="1"/>
  <c r="AO365" i="1"/>
  <c r="AO371" i="1" s="1"/>
  <c r="AO386" i="1" s="1"/>
  <c r="AT563" i="1"/>
  <c r="AG563" i="1"/>
  <c r="AZ563" i="1" s="1"/>
  <c r="AT206" i="1"/>
  <c r="AG206" i="1"/>
  <c r="AZ206" i="1" s="1"/>
  <c r="AA133" i="1"/>
  <c r="AO905" i="1"/>
  <c r="AT543" i="1"/>
  <c r="AG543" i="1"/>
  <c r="AZ543" i="1" s="1"/>
  <c r="AT439" i="1"/>
  <c r="AG439" i="1"/>
  <c r="AZ439" i="1" s="1"/>
  <c r="AT150" i="1"/>
  <c r="AG150" i="1"/>
  <c r="AZ150" i="1" s="1"/>
  <c r="AA322" i="1"/>
  <c r="AA326" i="1" s="1"/>
  <c r="AT321" i="1"/>
  <c r="AT322" i="1" s="1"/>
  <c r="AT326" i="1" s="1"/>
  <c r="AG321" i="1"/>
  <c r="AT778" i="1"/>
  <c r="AG778" i="1"/>
  <c r="AZ778" i="1" s="1"/>
  <c r="AT253" i="1"/>
  <c r="AG253" i="1"/>
  <c r="AZ253" i="1" s="1"/>
  <c r="AT483" i="1"/>
  <c r="AG483" i="1"/>
  <c r="AZ483" i="1" s="1"/>
  <c r="AT694" i="1"/>
  <c r="AG694" i="1"/>
  <c r="AZ694" i="1" s="1"/>
  <c r="X924" i="1"/>
  <c r="AP870" i="1"/>
  <c r="AP887" i="1" s="1"/>
  <c r="AP888" i="1" s="1"/>
  <c r="R887" i="1"/>
  <c r="R888" i="1" s="1"/>
  <c r="R294" i="1"/>
  <c r="AT591" i="1"/>
  <c r="AG591" i="1"/>
  <c r="AZ591" i="1" s="1"/>
  <c r="AT532" i="1"/>
  <c r="AG532" i="1"/>
  <c r="AZ532" i="1" s="1"/>
  <c r="AT434" i="1"/>
  <c r="AG434" i="1"/>
  <c r="AZ434" i="1" s="1"/>
  <c r="Q50" i="1"/>
  <c r="AT128" i="1"/>
  <c r="AG128" i="1"/>
  <c r="AZ128" i="1" s="1"/>
  <c r="AT470" i="1"/>
  <c r="AG470" i="1"/>
  <c r="AZ470" i="1" s="1"/>
  <c r="T398" i="1"/>
  <c r="T422" i="1" s="1"/>
  <c r="AB398" i="1"/>
  <c r="AA398" i="1"/>
  <c r="S422" i="1"/>
  <c r="AA357" i="1"/>
  <c r="AT339" i="1"/>
  <c r="AG339" i="1"/>
  <c r="AT417" i="1"/>
  <c r="AG417" i="1"/>
  <c r="AZ417" i="1" s="1"/>
  <c r="AT393" i="1"/>
  <c r="AG393" i="1"/>
  <c r="AZ393" i="1" s="1"/>
  <c r="AT127" i="1"/>
  <c r="AG127" i="1"/>
  <c r="AZ127" i="1" s="1"/>
  <c r="AT259" i="1"/>
  <c r="AG259" i="1"/>
  <c r="AZ259" i="1" s="1"/>
  <c r="AA604" i="1"/>
  <c r="AT528" i="1"/>
  <c r="AG528" i="1"/>
  <c r="AZ528" i="1" s="1"/>
  <c r="AT837" i="1"/>
  <c r="AG837" i="1"/>
  <c r="AZ837" i="1" s="1"/>
  <c r="AT451" i="1"/>
  <c r="AG451" i="1"/>
  <c r="AZ451" i="1" s="1"/>
  <c r="AT7" i="1"/>
  <c r="AT17" i="1" s="1"/>
  <c r="AG7" i="1"/>
  <c r="AA17" i="1"/>
  <c r="AT481" i="1"/>
  <c r="AG481" i="1"/>
  <c r="AZ481" i="1" s="1"/>
  <c r="AT31" i="1"/>
  <c r="AG31" i="1"/>
  <c r="AZ31" i="1" s="1"/>
  <c r="AT143" i="1"/>
  <c r="AG143" i="1"/>
  <c r="AA157" i="1"/>
  <c r="AT524" i="1"/>
  <c r="AG524" i="1"/>
  <c r="AZ524" i="1" s="1"/>
  <c r="AB226" i="1"/>
  <c r="AU224" i="1"/>
  <c r="AU226" i="1" s="1"/>
  <c r="AT201" i="1"/>
  <c r="AG201" i="1"/>
  <c r="AZ201" i="1" s="1"/>
  <c r="AP905" i="1"/>
  <c r="AT191" i="1"/>
  <c r="AG191" i="1"/>
  <c r="AZ191" i="1" s="1"/>
  <c r="AT340" i="1"/>
  <c r="AG340" i="1"/>
  <c r="AZ340" i="1" s="1"/>
  <c r="R73" i="1"/>
  <c r="R74" i="1" s="1"/>
  <c r="AP67" i="1"/>
  <c r="AP73" i="1" s="1"/>
  <c r="AP74" i="1" s="1"/>
  <c r="AT181" i="1"/>
  <c r="AG181" i="1"/>
  <c r="AZ181" i="1" s="1"/>
  <c r="AT882" i="1"/>
  <c r="AG882" i="1"/>
  <c r="AZ882" i="1" s="1"/>
  <c r="AT409" i="1"/>
  <c r="AG409" i="1"/>
  <c r="AZ409" i="1" s="1"/>
  <c r="AT271" i="1"/>
  <c r="AG271" i="1"/>
  <c r="AZ271" i="1" s="1"/>
  <c r="AT902" i="1"/>
  <c r="AG902" i="1"/>
  <c r="AZ902" i="1" s="1"/>
  <c r="AQ326" i="1"/>
  <c r="AT806" i="1"/>
  <c r="AG806" i="1"/>
  <c r="AZ806" i="1" s="1"/>
  <c r="AT555" i="1"/>
  <c r="AG555" i="1"/>
  <c r="AZ555" i="1" s="1"/>
  <c r="AA217" i="1"/>
  <c r="AT216" i="1"/>
  <c r="AT217" i="1" s="1"/>
  <c r="AG216" i="1"/>
  <c r="AT716" i="1"/>
  <c r="AG716" i="1"/>
  <c r="AZ716" i="1" s="1"/>
  <c r="AQ199" i="1"/>
  <c r="AQ207" i="1" s="1"/>
  <c r="AQ208" i="1" s="1"/>
  <c r="X207" i="1"/>
  <c r="X208" i="1" s="1"/>
  <c r="R605" i="1"/>
  <c r="AT657" i="1"/>
  <c r="AG657" i="1"/>
  <c r="AZ657" i="1" s="1"/>
  <c r="AT515" i="1"/>
  <c r="AG515" i="1"/>
  <c r="AZ515" i="1" s="1"/>
  <c r="AO398" i="1"/>
  <c r="AO422" i="1" s="1"/>
  <c r="Q422" i="1"/>
  <c r="AT765" i="1"/>
  <c r="AG765" i="1"/>
  <c r="AZ765" i="1" s="1"/>
  <c r="AT828" i="1"/>
  <c r="AG828" i="1"/>
  <c r="AZ828" i="1" s="1"/>
  <c r="AT509" i="1"/>
  <c r="AG509" i="1"/>
  <c r="AZ509" i="1" s="1"/>
  <c r="AT551" i="1"/>
  <c r="AG551" i="1"/>
  <c r="AZ551" i="1" s="1"/>
  <c r="AT408" i="1"/>
  <c r="AG408" i="1"/>
  <c r="AZ408" i="1" s="1"/>
  <c r="AT231" i="1"/>
  <c r="AG231" i="1"/>
  <c r="AZ231" i="1" s="1"/>
  <c r="AT805" i="1"/>
  <c r="AG805" i="1"/>
  <c r="AZ805" i="1" s="1"/>
  <c r="AZ372" i="1"/>
  <c r="Q661" i="1"/>
  <c r="Q662" i="1" s="1"/>
  <c r="AO640" i="1"/>
  <c r="AO661" i="1" s="1"/>
  <c r="AO662" i="1" s="1"/>
  <c r="AT602" i="1"/>
  <c r="AG602" i="1"/>
  <c r="AZ602" i="1" s="1"/>
  <c r="S277" i="1"/>
  <c r="S278" i="1" s="1"/>
  <c r="AB227" i="1"/>
  <c r="AA227" i="1"/>
  <c r="T227" i="1"/>
  <c r="T277" i="1" s="1"/>
  <c r="T278" i="1" s="1"/>
  <c r="AT831" i="1"/>
  <c r="AG831" i="1"/>
  <c r="AZ831" i="1" s="1"/>
  <c r="AT466" i="1"/>
  <c r="AG466" i="1"/>
  <c r="AZ466" i="1" s="1"/>
  <c r="AT573" i="1"/>
  <c r="AG573" i="1"/>
  <c r="AZ573" i="1" s="1"/>
  <c r="AT517" i="1"/>
  <c r="AG517" i="1"/>
  <c r="AZ517" i="1" s="1"/>
  <c r="AB49" i="1"/>
  <c r="AU45" i="1"/>
  <c r="AU49" i="1" s="1"/>
  <c r="AT457" i="1"/>
  <c r="AG457" i="1"/>
  <c r="AZ457" i="1" s="1"/>
  <c r="T218" i="1"/>
  <c r="AP616" i="1"/>
  <c r="AP631" i="1" s="1"/>
  <c r="AP632" i="1" s="1"/>
  <c r="R631" i="1"/>
  <c r="R632" i="1" s="1"/>
  <c r="X396" i="1"/>
  <c r="AQ392" i="1"/>
  <c r="AQ396" i="1" s="1"/>
  <c r="AQ423" i="1" s="1"/>
  <c r="AT846" i="1"/>
  <c r="AG846" i="1"/>
  <c r="AZ846" i="1" s="1"/>
  <c r="AA158" i="1"/>
  <c r="S192" i="1"/>
  <c r="S193" i="1" s="1"/>
  <c r="T158" i="1"/>
  <c r="T192" i="1" s="1"/>
  <c r="AB158" i="1"/>
  <c r="AO326" i="1"/>
  <c r="AT513" i="1"/>
  <c r="AG513" i="1"/>
  <c r="AZ513" i="1" s="1"/>
  <c r="AT644" i="1"/>
  <c r="AG644" i="1"/>
  <c r="AZ644" i="1" s="1"/>
  <c r="AT180" i="1"/>
  <c r="AG180" i="1"/>
  <c r="AZ180" i="1" s="1"/>
  <c r="T106" i="1"/>
  <c r="T134" i="1" s="1"/>
  <c r="Q74" i="1"/>
  <c r="AP301" i="1"/>
  <c r="AP304" i="1" s="1"/>
  <c r="R304" i="1"/>
  <c r="AT442" i="1"/>
  <c r="AG442" i="1"/>
  <c r="AZ442" i="1" s="1"/>
  <c r="AT761" i="1"/>
  <c r="AG761" i="1"/>
  <c r="AZ761" i="1" s="1"/>
  <c r="R35" i="1"/>
  <c r="R36" i="1" s="1"/>
  <c r="AP18" i="1"/>
  <c r="AP35" i="1" s="1"/>
  <c r="AP36" i="1" s="1"/>
  <c r="AT43" i="1"/>
  <c r="AG43" i="1"/>
  <c r="AZ43" i="1" s="1"/>
  <c r="AT601" i="1"/>
  <c r="AG601" i="1"/>
  <c r="AZ601" i="1" s="1"/>
  <c r="AT803" i="1"/>
  <c r="AG803" i="1"/>
  <c r="AZ803" i="1" s="1"/>
  <c r="Q905" i="1"/>
  <c r="AZ435" i="1"/>
  <c r="AT274" i="1"/>
  <c r="AG274" i="1"/>
  <c r="AZ274" i="1" s="1"/>
  <c r="AT402" i="1"/>
  <c r="AG402" i="1"/>
  <c r="AZ402" i="1" s="1"/>
  <c r="AT238" i="1"/>
  <c r="AG238" i="1"/>
  <c r="AZ238" i="1" s="1"/>
  <c r="R810" i="1"/>
  <c r="R812" i="1" s="1"/>
  <c r="AP669" i="1"/>
  <c r="AP810" i="1" s="1"/>
  <c r="AP812" i="1" s="1"/>
  <c r="AB322" i="1"/>
  <c r="AB326" i="1" s="1"/>
  <c r="AU321" i="1"/>
  <c r="AU322" i="1" s="1"/>
  <c r="AT572" i="1"/>
  <c r="AG572" i="1"/>
  <c r="AZ572" i="1" s="1"/>
  <c r="AT20" i="1"/>
  <c r="AG20" i="1"/>
  <c r="AZ20" i="1" s="1"/>
  <c r="AQ924" i="1"/>
  <c r="AB819" i="1"/>
  <c r="S861" i="1"/>
  <c r="S864" i="1" s="1"/>
  <c r="T819" i="1"/>
  <c r="T861" i="1" s="1"/>
  <c r="AA819" i="1"/>
  <c r="AT838" i="1"/>
  <c r="AG838" i="1"/>
  <c r="AZ838" i="1" s="1"/>
  <c r="AT767" i="1"/>
  <c r="AG767" i="1"/>
  <c r="AZ767" i="1" s="1"/>
  <c r="T338" i="1"/>
  <c r="U936" i="1"/>
  <c r="U938" i="1" s="1"/>
  <c r="AT642" i="1"/>
  <c r="AG642" i="1"/>
  <c r="AZ642" i="1" s="1"/>
  <c r="AT454" i="1"/>
  <c r="AG454" i="1"/>
  <c r="AZ454" i="1" s="1"/>
  <c r="AT505" i="1"/>
  <c r="AG505" i="1"/>
  <c r="AZ505" i="1" s="1"/>
  <c r="S605" i="1"/>
  <c r="AT788" i="1"/>
  <c r="AG788" i="1"/>
  <c r="AZ788" i="1" s="1"/>
  <c r="R134" i="1"/>
  <c r="AT473" i="1"/>
  <c r="AG473" i="1"/>
  <c r="AZ473" i="1" s="1"/>
  <c r="AT658" i="1"/>
  <c r="AG658" i="1"/>
  <c r="AZ658" i="1" s="1"/>
  <c r="AT268" i="1"/>
  <c r="AG268" i="1"/>
  <c r="AZ268" i="1" s="1"/>
  <c r="AT123" i="1"/>
  <c r="AG123" i="1"/>
  <c r="AZ123" i="1" s="1"/>
  <c r="AQ36" i="1"/>
  <c r="AT452" i="1"/>
  <c r="AG452" i="1"/>
  <c r="AZ452" i="1" s="1"/>
  <c r="AT167" i="1"/>
  <c r="AG167" i="1"/>
  <c r="AZ167" i="1" s="1"/>
  <c r="AT741" i="1"/>
  <c r="AG741" i="1"/>
  <c r="AZ741" i="1" s="1"/>
  <c r="AT675" i="1"/>
  <c r="AG675" i="1"/>
  <c r="AZ675" i="1" s="1"/>
  <c r="AT203" i="1"/>
  <c r="AG203" i="1"/>
  <c r="AZ203" i="1" s="1"/>
  <c r="X810" i="1"/>
  <c r="X812" i="1" s="1"/>
  <c r="AQ669" i="1"/>
  <c r="AQ810" i="1" s="1"/>
  <c r="AQ812" i="1" s="1"/>
  <c r="AT234" i="1"/>
  <c r="AG234" i="1"/>
  <c r="AZ234" i="1" s="1"/>
  <c r="AQ67" i="1"/>
  <c r="AQ73" i="1" s="1"/>
  <c r="AQ74" i="1" s="1"/>
  <c r="X73" i="1"/>
  <c r="X74" i="1" s="1"/>
  <c r="AT536" i="1"/>
  <c r="AG536" i="1"/>
  <c r="AZ536" i="1" s="1"/>
  <c r="AP199" i="1"/>
  <c r="AP207" i="1" s="1"/>
  <c r="AP208" i="1" s="1"/>
  <c r="R207" i="1"/>
  <c r="R208" i="1" s="1"/>
  <c r="AT42" i="1"/>
  <c r="AT44" i="1" s="1"/>
  <c r="AA44" i="1"/>
  <c r="AG42" i="1"/>
  <c r="AZ56" i="1"/>
  <c r="AZ66" i="1" s="1"/>
  <c r="R314" i="1"/>
  <c r="AP305" i="1"/>
  <c r="AP314" i="1" s="1"/>
  <c r="AT567" i="1"/>
  <c r="AG567" i="1"/>
  <c r="AZ567" i="1" s="1"/>
  <c r="AT153" i="1"/>
  <c r="AG153" i="1"/>
  <c r="AZ153" i="1" s="1"/>
  <c r="AT474" i="1"/>
  <c r="AG474" i="1"/>
  <c r="AZ474" i="1" s="1"/>
  <c r="AT239" i="1"/>
  <c r="AG239" i="1"/>
  <c r="AZ239" i="1" s="1"/>
  <c r="AT115" i="1"/>
  <c r="AG115" i="1"/>
  <c r="AZ115" i="1" s="1"/>
  <c r="AT595" i="1"/>
  <c r="AG595" i="1"/>
  <c r="AZ595" i="1" s="1"/>
  <c r="AT27" i="1"/>
  <c r="AG27" i="1"/>
  <c r="AZ27" i="1" s="1"/>
  <c r="AT757" i="1"/>
  <c r="AG757" i="1"/>
  <c r="AZ757" i="1" s="1"/>
  <c r="AT346" i="1"/>
  <c r="AG346" i="1"/>
  <c r="AZ346" i="1" s="1"/>
  <c r="AB904" i="1"/>
  <c r="AU899" i="1"/>
  <c r="AU904" i="1" s="1"/>
  <c r="AU42" i="1"/>
  <c r="AU44" i="1" s="1"/>
  <c r="AB44" i="1"/>
  <c r="AT342" i="1"/>
  <c r="AG342" i="1"/>
  <c r="AZ342" i="1" s="1"/>
  <c r="AT804" i="1"/>
  <c r="AG804" i="1"/>
  <c r="AZ804" i="1" s="1"/>
  <c r="AT94" i="1"/>
  <c r="AG94" i="1"/>
  <c r="AZ94" i="1" s="1"/>
  <c r="X326" i="1"/>
  <c r="AT98" i="1"/>
  <c r="AG98" i="1"/>
  <c r="AZ98" i="1" s="1"/>
  <c r="AT258" i="1"/>
  <c r="AG258" i="1"/>
  <c r="AZ258" i="1" s="1"/>
  <c r="AT839" i="1"/>
  <c r="AG839" i="1"/>
  <c r="AZ839" i="1" s="1"/>
  <c r="T199" i="1"/>
  <c r="T207" i="1" s="1"/>
  <c r="T208" i="1" s="1"/>
  <c r="AB199" i="1"/>
  <c r="AA199" i="1"/>
  <c r="S207" i="1"/>
  <c r="S208" i="1" s="1"/>
  <c r="T50" i="1"/>
  <c r="AT560" i="1"/>
  <c r="AG560" i="1"/>
  <c r="AZ560" i="1" s="1"/>
  <c r="AT335" i="1"/>
  <c r="AG335" i="1"/>
  <c r="AZ335" i="1" s="1"/>
  <c r="AZ338" i="1" s="1"/>
  <c r="AP398" i="1"/>
  <c r="AP422" i="1" s="1"/>
  <c r="R422" i="1"/>
  <c r="AT829" i="1"/>
  <c r="AG829" i="1"/>
  <c r="AZ829" i="1" s="1"/>
  <c r="AT677" i="1"/>
  <c r="AG677" i="1"/>
  <c r="AZ677" i="1" s="1"/>
  <c r="AT564" i="1"/>
  <c r="AG564" i="1"/>
  <c r="AZ564" i="1" s="1"/>
  <c r="AA385" i="1"/>
  <c r="T640" i="1"/>
  <c r="T661" i="1" s="1"/>
  <c r="T662" i="1" s="1"/>
  <c r="S661" i="1"/>
  <c r="S662" i="1" s="1"/>
  <c r="AB640" i="1"/>
  <c r="AA640" i="1"/>
  <c r="S36" i="1"/>
  <c r="AP50" i="1"/>
  <c r="AT752" i="1"/>
  <c r="AG752" i="1"/>
  <c r="AZ752" i="1" s="1"/>
  <c r="X36" i="1"/>
  <c r="AT267" i="1"/>
  <c r="AG267" i="1"/>
  <c r="AZ267" i="1" s="1"/>
  <c r="AT824" i="1"/>
  <c r="AG824" i="1"/>
  <c r="AZ824" i="1" s="1"/>
  <c r="AT62" i="1"/>
  <c r="AT66" i="1" s="1"/>
  <c r="AG62" i="1"/>
  <c r="AZ62" i="1" s="1"/>
  <c r="AT288" i="1"/>
  <c r="AG288" i="1"/>
  <c r="AT760" i="1"/>
  <c r="AG760" i="1"/>
  <c r="AZ760" i="1" s="1"/>
  <c r="AT766" i="1"/>
  <c r="AG766" i="1"/>
  <c r="AZ766" i="1" s="1"/>
  <c r="AT751" i="1"/>
  <c r="AG751" i="1"/>
  <c r="AZ751" i="1" s="1"/>
  <c r="AT399" i="1"/>
  <c r="AG399" i="1"/>
  <c r="AZ399" i="1" s="1"/>
  <c r="AB604" i="1"/>
  <c r="AT172" i="1"/>
  <c r="AG172" i="1"/>
  <c r="AZ172" i="1" s="1"/>
  <c r="AT763" i="1"/>
  <c r="AG763" i="1"/>
  <c r="AZ763" i="1" s="1"/>
  <c r="AT575" i="1"/>
  <c r="AG575" i="1"/>
  <c r="AZ575" i="1" s="1"/>
  <c r="AT89" i="1"/>
  <c r="AA106" i="1"/>
  <c r="AG89" i="1"/>
  <c r="AU914" i="1"/>
  <c r="AU916" i="1" s="1"/>
  <c r="AU924" i="1" s="1"/>
  <c r="AB916" i="1"/>
  <c r="AT146" i="1"/>
  <c r="AG146" i="1"/>
  <c r="AZ146" i="1" s="1"/>
  <c r="AT895" i="1"/>
  <c r="AA898" i="1"/>
  <c r="AA905" i="1" s="1"/>
  <c r="AG895" i="1"/>
  <c r="T301" i="1"/>
  <c r="T304" i="1" s="1"/>
  <c r="T315" i="1" s="1"/>
  <c r="AB301" i="1"/>
  <c r="AG301" i="1" s="1"/>
  <c r="AZ301" i="1" s="1"/>
  <c r="AA301" i="1"/>
  <c r="S304" i="1"/>
  <c r="AT787" i="1"/>
  <c r="AG787" i="1"/>
  <c r="AZ787" i="1" s="1"/>
  <c r="AT648" i="1"/>
  <c r="AG648" i="1"/>
  <c r="AZ648" i="1" s="1"/>
  <c r="AT860" i="1"/>
  <c r="AG860" i="1"/>
  <c r="AZ860" i="1" s="1"/>
  <c r="AT915" i="1"/>
  <c r="AG915" i="1"/>
  <c r="AZ915" i="1" s="1"/>
  <c r="AT174" i="1"/>
  <c r="AG174" i="1"/>
  <c r="AZ174" i="1" s="1"/>
  <c r="AT489" i="1"/>
  <c r="AG489" i="1"/>
  <c r="AZ489" i="1" s="1"/>
  <c r="AT460" i="1"/>
  <c r="AG460" i="1"/>
  <c r="AZ460" i="1" s="1"/>
  <c r="AT843" i="1"/>
  <c r="AG843" i="1"/>
  <c r="AZ843" i="1" s="1"/>
  <c r="S810" i="1"/>
  <c r="S812" i="1" s="1"/>
  <c r="T669" i="1"/>
  <c r="T810" i="1" s="1"/>
  <c r="T812" i="1" s="1"/>
  <c r="AB669" i="1"/>
  <c r="AA669" i="1"/>
  <c r="AT681" i="1"/>
  <c r="AG681" i="1"/>
  <c r="AZ681" i="1" s="1"/>
  <c r="S326" i="1"/>
  <c r="AT68" i="1"/>
  <c r="AG68" i="1"/>
  <c r="AZ68" i="1" s="1"/>
  <c r="AT506" i="1"/>
  <c r="AG506" i="1"/>
  <c r="AZ506" i="1" s="1"/>
  <c r="AT708" i="1"/>
  <c r="AG708" i="1"/>
  <c r="AZ708" i="1" s="1"/>
  <c r="R861" i="1"/>
  <c r="AP819" i="1"/>
  <c r="AP861" i="1" s="1"/>
  <c r="AP864" i="1" s="1"/>
  <c r="AT46" i="1"/>
  <c r="AG46" i="1"/>
  <c r="AZ46" i="1" s="1"/>
  <c r="AT725" i="1"/>
  <c r="AG725" i="1"/>
  <c r="AZ725" i="1" s="1"/>
  <c r="AT835" i="1"/>
  <c r="AG835" i="1"/>
  <c r="AZ835" i="1" s="1"/>
  <c r="AT690" i="1"/>
  <c r="AG690" i="1"/>
  <c r="AZ690" i="1" s="1"/>
  <c r="AT421" i="1"/>
  <c r="AG421" i="1"/>
  <c r="AZ421" i="1" s="1"/>
  <c r="AT429" i="1"/>
  <c r="AT433" i="1" s="1"/>
  <c r="AA433" i="1"/>
  <c r="AG429" i="1"/>
  <c r="AP134" i="1"/>
  <c r="AT798" i="1"/>
  <c r="AG798" i="1"/>
  <c r="AZ798" i="1" s="1"/>
  <c r="AT272" i="1"/>
  <c r="AG272" i="1"/>
  <c r="AZ272" i="1" s="1"/>
  <c r="AT113" i="1"/>
  <c r="AG113" i="1"/>
  <c r="AZ113" i="1" s="1"/>
  <c r="AT501" i="1"/>
  <c r="AG501" i="1"/>
  <c r="AZ501" i="1" s="1"/>
  <c r="AT111" i="1"/>
  <c r="AG111" i="1"/>
  <c r="AZ111" i="1" s="1"/>
  <c r="AT184" i="1"/>
  <c r="AG184" i="1"/>
  <c r="AZ184" i="1" s="1"/>
  <c r="AT247" i="1"/>
  <c r="AG247" i="1"/>
  <c r="AZ247" i="1" s="1"/>
  <c r="T904" i="1"/>
  <c r="AA605" i="1" l="1"/>
  <c r="AA134" i="1"/>
  <c r="AG385" i="1"/>
  <c r="AO315" i="1"/>
  <c r="Q864" i="1"/>
  <c r="T36" i="1"/>
  <c r="V938" i="1"/>
  <c r="AT338" i="1"/>
  <c r="T905" i="1"/>
  <c r="AU50" i="1"/>
  <c r="AT385" i="1"/>
  <c r="R423" i="1"/>
  <c r="AQ864" i="1"/>
  <c r="AQ932" i="1" s="1"/>
  <c r="S930" i="1"/>
  <c r="R864" i="1"/>
  <c r="AA50" i="1"/>
  <c r="AU326" i="1"/>
  <c r="T386" i="1"/>
  <c r="AG66" i="1"/>
  <c r="T864" i="1"/>
  <c r="T193" i="1"/>
  <c r="AT157" i="1"/>
  <c r="AT357" i="1"/>
  <c r="AR937" i="1"/>
  <c r="AT904" i="1"/>
  <c r="AP423" i="1"/>
  <c r="AB82" i="1"/>
  <c r="AB83" i="1" s="1"/>
  <c r="AU80" i="1"/>
  <c r="AU82" i="1" s="1"/>
  <c r="AU83" i="1" s="1"/>
  <c r="AG80" i="1"/>
  <c r="AT80" i="1"/>
  <c r="AT82" i="1" s="1"/>
  <c r="AT83" i="1" s="1"/>
  <c r="AA82" i="1"/>
  <c r="AA83" i="1" s="1"/>
  <c r="AP315" i="1"/>
  <c r="AB293" i="1"/>
  <c r="X315" i="1"/>
  <c r="Q423" i="1"/>
  <c r="AO864" i="1"/>
  <c r="AT614" i="1"/>
  <c r="AB294" i="1"/>
  <c r="AT918" i="1"/>
  <c r="AT923" i="1" s="1"/>
  <c r="AG918" i="1"/>
  <c r="AZ918" i="1" s="1"/>
  <c r="AZ923" i="1" s="1"/>
  <c r="AA863" i="1"/>
  <c r="AG862" i="1"/>
  <c r="AT862" i="1"/>
  <c r="AT863" i="1" s="1"/>
  <c r="AT287" i="1"/>
  <c r="AT293" i="1" s="1"/>
  <c r="AT294" i="1" s="1"/>
  <c r="AG287" i="1"/>
  <c r="AZ287" i="1" s="1"/>
  <c r="AT133" i="1"/>
  <c r="X423" i="1"/>
  <c r="AT916" i="1"/>
  <c r="AT924" i="1" s="1"/>
  <c r="AU293" i="1"/>
  <c r="AQ315" i="1"/>
  <c r="AB134" i="1"/>
  <c r="AO423" i="1"/>
  <c r="AB358" i="1"/>
  <c r="AB863" i="1"/>
  <c r="AU862" i="1"/>
  <c r="AU863" i="1" s="1"/>
  <c r="AG898" i="1"/>
  <c r="AZ895" i="1"/>
  <c r="AZ898" i="1" s="1"/>
  <c r="AB192" i="1"/>
  <c r="AU158" i="1"/>
  <c r="AU192" i="1" s="1"/>
  <c r="AU193" i="1" s="1"/>
  <c r="AG304" i="1"/>
  <c r="AT819" i="1"/>
  <c r="AT861" i="1" s="1"/>
  <c r="AT864" i="1" s="1"/>
  <c r="AA861" i="1"/>
  <c r="AA864" i="1" s="1"/>
  <c r="AG819" i="1"/>
  <c r="AG49" i="1"/>
  <c r="AZ45" i="1"/>
  <c r="AZ49" i="1" s="1"/>
  <c r="Y938" i="1"/>
  <c r="AU365" i="1"/>
  <c r="AU371" i="1" s="1"/>
  <c r="AU386" i="1" s="1"/>
  <c r="AB371" i="1"/>
  <c r="AB386" i="1" s="1"/>
  <c r="AT158" i="1"/>
  <c r="AT192" i="1" s="1"/>
  <c r="AT193" i="1" s="1"/>
  <c r="AA192" i="1"/>
  <c r="AG158" i="1"/>
  <c r="Q930" i="1"/>
  <c r="AB193" i="1"/>
  <c r="AU605" i="1"/>
  <c r="AQ931" i="1"/>
  <c r="AT218" i="1"/>
  <c r="AP930" i="1"/>
  <c r="AU870" i="1"/>
  <c r="AU887" i="1" s="1"/>
  <c r="AU888" i="1" s="1"/>
  <c r="AB887" i="1"/>
  <c r="AB888" i="1" s="1"/>
  <c r="AG286" i="1"/>
  <c r="AZ285" i="1"/>
  <c r="AZ286" i="1" s="1"/>
  <c r="AG338" i="1"/>
  <c r="AG322" i="1"/>
  <c r="AZ321" i="1"/>
  <c r="AZ322" i="1" s="1"/>
  <c r="AA887" i="1"/>
  <c r="AA888" i="1" s="1"/>
  <c r="AT870" i="1"/>
  <c r="AT887" i="1" s="1"/>
  <c r="AT888" i="1" s="1"/>
  <c r="AG870" i="1"/>
  <c r="X930" i="1"/>
  <c r="AU227" i="1"/>
  <c r="AU277" i="1" s="1"/>
  <c r="AU278" i="1" s="1"/>
  <c r="AB277" i="1"/>
  <c r="AB278" i="1" s="1"/>
  <c r="AB905" i="1"/>
  <c r="AT49" i="1"/>
  <c r="S315" i="1"/>
  <c r="R315" i="1"/>
  <c r="R932" i="1" s="1"/>
  <c r="AT398" i="1"/>
  <c r="AT422" i="1" s="1"/>
  <c r="AA422" i="1"/>
  <c r="AG398" i="1"/>
  <c r="AB631" i="1"/>
  <c r="AB632" i="1" s="1"/>
  <c r="AU616" i="1"/>
  <c r="AU631" i="1" s="1"/>
  <c r="AU632" i="1" s="1"/>
  <c r="AO931" i="1"/>
  <c r="X931" i="1"/>
  <c r="AA218" i="1"/>
  <c r="AF938" i="1"/>
  <c r="AT392" i="1"/>
  <c r="AT396" i="1" s="1"/>
  <c r="AA396" i="1"/>
  <c r="AG392" i="1"/>
  <c r="AZ143" i="1"/>
  <c r="AZ157" i="1" s="1"/>
  <c r="AG157" i="1"/>
  <c r="AG357" i="1"/>
  <c r="AZ339" i="1"/>
  <c r="AZ357" i="1" s="1"/>
  <c r="AZ358" i="1" s="1"/>
  <c r="AZ133" i="1"/>
  <c r="AB35" i="1"/>
  <c r="AU18" i="1"/>
  <c r="AU35" i="1" s="1"/>
  <c r="AU36" i="1" s="1"/>
  <c r="AT106" i="1"/>
  <c r="AT134" i="1" s="1"/>
  <c r="AZ899" i="1"/>
  <c r="AZ904" i="1" s="1"/>
  <c r="AG904" i="1"/>
  <c r="AZ304" i="1"/>
  <c r="AT305" i="1"/>
  <c r="AT314" i="1" s="1"/>
  <c r="AA314" i="1"/>
  <c r="AG305" i="1"/>
  <c r="S931" i="1"/>
  <c r="S936" i="1" s="1"/>
  <c r="AT898" i="1"/>
  <c r="AT905" i="1" s="1"/>
  <c r="X932" i="1"/>
  <c r="AA661" i="1"/>
  <c r="AA662" i="1" s="1"/>
  <c r="AT640" i="1"/>
  <c r="AT661" i="1" s="1"/>
  <c r="AT662" i="1" s="1"/>
  <c r="AG640" i="1"/>
  <c r="AZ385" i="1"/>
  <c r="R930" i="1"/>
  <c r="AB661" i="1"/>
  <c r="AB662" i="1" s="1"/>
  <c r="AU640" i="1"/>
  <c r="AU661" i="1" s="1"/>
  <c r="AU662" i="1" s="1"/>
  <c r="AZ42" i="1"/>
  <c r="AZ44" i="1" s="1"/>
  <c r="AG44" i="1"/>
  <c r="AT301" i="1"/>
  <c r="AT304" i="1" s="1"/>
  <c r="AT315" i="1" s="1"/>
  <c r="AA304" i="1"/>
  <c r="AB924" i="1"/>
  <c r="AT50" i="1"/>
  <c r="T358" i="1"/>
  <c r="AB861" i="1"/>
  <c r="AB864" i="1" s="1"/>
  <c r="AU819" i="1"/>
  <c r="AU861" i="1" s="1"/>
  <c r="AU864" i="1" s="1"/>
  <c r="AG217" i="1"/>
  <c r="AZ216" i="1"/>
  <c r="AZ217" i="1" s="1"/>
  <c r="AU398" i="1"/>
  <c r="AU422" i="1" s="1"/>
  <c r="AB422" i="1"/>
  <c r="AZ914" i="1"/>
  <c r="AZ916" i="1" s="1"/>
  <c r="AG916" i="1"/>
  <c r="Q931" i="1"/>
  <c r="AG325" i="1"/>
  <c r="AZ323" i="1"/>
  <c r="AZ325" i="1" s="1"/>
  <c r="AU294" i="1"/>
  <c r="AY937" i="1"/>
  <c r="AA294" i="1"/>
  <c r="AU392" i="1"/>
  <c r="AU396" i="1" s="1"/>
  <c r="AB396" i="1"/>
  <c r="AB423" i="1" s="1"/>
  <c r="AB810" i="1"/>
  <c r="AB812" i="1" s="1"/>
  <c r="AU669" i="1"/>
  <c r="AU810" i="1" s="1"/>
  <c r="AU812" i="1" s="1"/>
  <c r="AZ288" i="1"/>
  <c r="AZ293" i="1" s="1"/>
  <c r="AA277" i="1"/>
  <c r="AA278" i="1" s="1"/>
  <c r="AT227" i="1"/>
  <c r="AT277" i="1" s="1"/>
  <c r="AT278" i="1" s="1"/>
  <c r="AG227" i="1"/>
  <c r="AZ214" i="1"/>
  <c r="AZ215" i="1" s="1"/>
  <c r="AG215" i="1"/>
  <c r="AP932" i="1"/>
  <c r="AB50" i="1"/>
  <c r="AP931" i="1"/>
  <c r="AB73" i="1"/>
  <c r="AB74" i="1" s="1"/>
  <c r="AU67" i="1"/>
  <c r="AU73" i="1" s="1"/>
  <c r="AU74" i="1" s="1"/>
  <c r="AA358" i="1"/>
  <c r="AB314" i="1"/>
  <c r="AU305" i="1"/>
  <c r="AU314" i="1" s="1"/>
  <c r="P936" i="1"/>
  <c r="P932" i="1"/>
  <c r="P938" i="1" s="1"/>
  <c r="AG226" i="1"/>
  <c r="AZ224" i="1"/>
  <c r="AZ226" i="1" s="1"/>
  <c r="T930" i="1"/>
  <c r="T931" i="1"/>
  <c r="S423" i="1"/>
  <c r="S932" i="1" s="1"/>
  <c r="S938" i="1" s="1"/>
  <c r="AA810" i="1"/>
  <c r="AA812" i="1" s="1"/>
  <c r="AT669" i="1"/>
  <c r="AT810" i="1" s="1"/>
  <c r="AT812" i="1" s="1"/>
  <c r="AG669" i="1"/>
  <c r="AT365" i="1"/>
  <c r="AT371" i="1" s="1"/>
  <c r="AT386" i="1" s="1"/>
  <c r="AA371" i="1"/>
  <c r="AA386" i="1" s="1"/>
  <c r="AG365" i="1"/>
  <c r="AO930" i="1"/>
  <c r="AT67" i="1"/>
  <c r="AT73" i="1" s="1"/>
  <c r="AT74" i="1" s="1"/>
  <c r="AA73" i="1"/>
  <c r="AA74" i="1" s="1"/>
  <c r="AG67" i="1"/>
  <c r="AG614" i="1"/>
  <c r="AZ611" i="1"/>
  <c r="AZ614" i="1" s="1"/>
  <c r="AB605" i="1"/>
  <c r="AU905" i="1"/>
  <c r="AT616" i="1"/>
  <c r="AT631" i="1" s="1"/>
  <c r="AT632" i="1" s="1"/>
  <c r="AA631" i="1"/>
  <c r="AA632" i="1" s="1"/>
  <c r="AG616" i="1"/>
  <c r="AZ638" i="1"/>
  <c r="AZ639" i="1" s="1"/>
  <c r="AG639" i="1"/>
  <c r="AG433" i="1"/>
  <c r="AG605" i="1" s="1"/>
  <c r="AZ429" i="1"/>
  <c r="AZ433" i="1" s="1"/>
  <c r="AU301" i="1"/>
  <c r="AU304" i="1" s="1"/>
  <c r="AU315" i="1" s="1"/>
  <c r="AB304" i="1"/>
  <c r="AB930" i="1" s="1"/>
  <c r="AT199" i="1"/>
  <c r="AT207" i="1" s="1"/>
  <c r="AT208" i="1" s="1"/>
  <c r="AA207" i="1"/>
  <c r="AA208" i="1" s="1"/>
  <c r="AG199" i="1"/>
  <c r="AG604" i="1"/>
  <c r="AZ604" i="1"/>
  <c r="AZ605" i="1" s="1"/>
  <c r="AZ89" i="1"/>
  <c r="AZ106" i="1" s="1"/>
  <c r="AZ134" i="1" s="1"/>
  <c r="AG106" i="1"/>
  <c r="AU199" i="1"/>
  <c r="AU207" i="1" s="1"/>
  <c r="AU208" i="1" s="1"/>
  <c r="AB207" i="1"/>
  <c r="AB208" i="1" s="1"/>
  <c r="AQ930" i="1"/>
  <c r="R931" i="1"/>
  <c r="AA193" i="1"/>
  <c r="AZ7" i="1"/>
  <c r="AZ17" i="1" s="1"/>
  <c r="AG17" i="1"/>
  <c r="AT604" i="1"/>
  <c r="AT605" i="1" s="1"/>
  <c r="BB605" i="1" s="1"/>
  <c r="Q315" i="1"/>
  <c r="AA924" i="1"/>
  <c r="AB218" i="1"/>
  <c r="AG133" i="1"/>
  <c r="AO812" i="1"/>
  <c r="AA35" i="1"/>
  <c r="AA36" i="1" s="1"/>
  <c r="AT18" i="1"/>
  <c r="AT35" i="1" s="1"/>
  <c r="AT36" i="1" s="1"/>
  <c r="AG18" i="1"/>
  <c r="T423" i="1"/>
  <c r="AG50" i="1" l="1"/>
  <c r="AH50" i="1" s="1"/>
  <c r="AI50" i="1" s="1"/>
  <c r="AT358" i="1"/>
  <c r="BB358" i="1" s="1"/>
  <c r="AH605" i="1"/>
  <c r="AI605" i="1" s="1"/>
  <c r="BB134" i="1"/>
  <c r="T932" i="1"/>
  <c r="Q932" i="1"/>
  <c r="AG293" i="1"/>
  <c r="AG294" i="1" s="1"/>
  <c r="AH294" i="1" s="1"/>
  <c r="AI294" i="1" s="1"/>
  <c r="AA315" i="1"/>
  <c r="X936" i="1"/>
  <c r="X938" i="1" s="1"/>
  <c r="AQ936" i="1"/>
  <c r="AO936" i="1"/>
  <c r="AB315" i="1"/>
  <c r="AG326" i="1"/>
  <c r="AH326" i="1" s="1"/>
  <c r="AI326" i="1" s="1"/>
  <c r="AO932" i="1"/>
  <c r="AO937" i="1" s="1"/>
  <c r="AQ937" i="1"/>
  <c r="AZ50" i="1"/>
  <c r="R936" i="1"/>
  <c r="R938" i="1" s="1"/>
  <c r="AZ862" i="1"/>
  <c r="AZ863" i="1" s="1"/>
  <c r="AG863" i="1"/>
  <c r="AG923" i="1"/>
  <c r="AG924" i="1" s="1"/>
  <c r="AH924" i="1" s="1"/>
  <c r="AI924" i="1" s="1"/>
  <c r="AZ80" i="1"/>
  <c r="AZ82" i="1" s="1"/>
  <c r="AZ83" i="1" s="1"/>
  <c r="BB83" i="1" s="1"/>
  <c r="AG82" i="1"/>
  <c r="AG83" i="1" s="1"/>
  <c r="AH83" i="1" s="1"/>
  <c r="AI83" i="1" s="1"/>
  <c r="AG207" i="1"/>
  <c r="AG208" i="1" s="1"/>
  <c r="AH208" i="1" s="1"/>
  <c r="AI208" i="1" s="1"/>
  <c r="AZ199" i="1"/>
  <c r="AZ207" i="1" s="1"/>
  <c r="AZ208" i="1" s="1"/>
  <c r="BB208" i="1" s="1"/>
  <c r="AG277" i="1"/>
  <c r="AZ227" i="1"/>
  <c r="AZ277" i="1" s="1"/>
  <c r="AZ278" i="1" s="1"/>
  <c r="BB278" i="1" s="1"/>
  <c r="AU423" i="1"/>
  <c r="AU932" i="1" s="1"/>
  <c r="AB931" i="1"/>
  <c r="AB936" i="1" s="1"/>
  <c r="AA423" i="1"/>
  <c r="AA932" i="1" s="1"/>
  <c r="AG887" i="1"/>
  <c r="AG888" i="1" s="1"/>
  <c r="AH888" i="1" s="1"/>
  <c r="AI888" i="1" s="1"/>
  <c r="AZ870" i="1"/>
  <c r="AZ887" i="1" s="1"/>
  <c r="AZ888" i="1" s="1"/>
  <c r="BB888" i="1" s="1"/>
  <c r="Q936" i="1"/>
  <c r="Q938" i="1" s="1"/>
  <c r="AU931" i="1"/>
  <c r="AG35" i="1"/>
  <c r="AZ18" i="1"/>
  <c r="AZ35" i="1" s="1"/>
  <c r="AT930" i="1"/>
  <c r="AZ640" i="1"/>
  <c r="AZ661" i="1" s="1"/>
  <c r="AZ662" i="1" s="1"/>
  <c r="BB662" i="1" s="1"/>
  <c r="AG661" i="1"/>
  <c r="AT423" i="1"/>
  <c r="AP936" i="1"/>
  <c r="AG192" i="1"/>
  <c r="AG193" i="1" s="1"/>
  <c r="AH193" i="1" s="1"/>
  <c r="AI193" i="1" s="1"/>
  <c r="AZ158" i="1"/>
  <c r="AZ192" i="1" s="1"/>
  <c r="AZ193" i="1" s="1"/>
  <c r="BB193" i="1" s="1"/>
  <c r="AU930" i="1"/>
  <c r="AZ305" i="1"/>
  <c r="AZ314" i="1" s="1"/>
  <c r="AZ315" i="1" s="1"/>
  <c r="BB315" i="1" s="1"/>
  <c r="AG314" i="1"/>
  <c r="AG315" i="1" s="1"/>
  <c r="AZ392" i="1"/>
  <c r="AZ396" i="1" s="1"/>
  <c r="AG396" i="1"/>
  <c r="AT931" i="1"/>
  <c r="AG134" i="1"/>
  <c r="AH134" i="1" s="1"/>
  <c r="AI134" i="1" s="1"/>
  <c r="AZ67" i="1"/>
  <c r="AZ73" i="1" s="1"/>
  <c r="AZ74" i="1" s="1"/>
  <c r="BB74" i="1" s="1"/>
  <c r="AG73" i="1"/>
  <c r="AG74" i="1" s="1"/>
  <c r="AH74" i="1" s="1"/>
  <c r="AI74" i="1" s="1"/>
  <c r="AA931" i="1"/>
  <c r="AA930" i="1"/>
  <c r="AG810" i="1"/>
  <c r="AG812" i="1" s="1"/>
  <c r="AH812" i="1" s="1"/>
  <c r="AZ669" i="1"/>
  <c r="AZ810" i="1" s="1"/>
  <c r="T936" i="1"/>
  <c r="T938" i="1" s="1"/>
  <c r="AP937" i="1"/>
  <c r="AZ924" i="1"/>
  <c r="BB924" i="1" s="1"/>
  <c r="AZ326" i="1"/>
  <c r="BB326" i="1" s="1"/>
  <c r="AG358" i="1"/>
  <c r="AH358" i="1" s="1"/>
  <c r="AI358" i="1" s="1"/>
  <c r="AG861" i="1"/>
  <c r="AZ819" i="1"/>
  <c r="AZ861" i="1" s="1"/>
  <c r="AZ864" i="1" s="1"/>
  <c r="BB864" i="1" s="1"/>
  <c r="AG631" i="1"/>
  <c r="AG632" i="1" s="1"/>
  <c r="AH632" i="1" s="1"/>
  <c r="AI632" i="1" s="1"/>
  <c r="AZ616" i="1"/>
  <c r="AZ631" i="1" s="1"/>
  <c r="AZ632" i="1" s="1"/>
  <c r="BB632" i="1" s="1"/>
  <c r="AG218" i="1"/>
  <c r="BB50" i="1"/>
  <c r="AH218" i="1"/>
  <c r="AI218" i="1" s="1"/>
  <c r="AZ905" i="1"/>
  <c r="BB905" i="1" s="1"/>
  <c r="AG662" i="1"/>
  <c r="AH662" i="1" s="1"/>
  <c r="AI662" i="1" s="1"/>
  <c r="AG371" i="1"/>
  <c r="AG386" i="1" s="1"/>
  <c r="AH386" i="1" s="1"/>
  <c r="AI386" i="1" s="1"/>
  <c r="AZ365" i="1"/>
  <c r="AZ371" i="1" s="1"/>
  <c r="AZ386" i="1" s="1"/>
  <c r="BB386" i="1" s="1"/>
  <c r="AG278" i="1"/>
  <c r="AH278" i="1" s="1"/>
  <c r="AI278" i="1" s="1"/>
  <c r="AZ218" i="1"/>
  <c r="BB218" i="1" s="1"/>
  <c r="AB36" i="1"/>
  <c r="AZ398" i="1"/>
  <c r="AZ422" i="1" s="1"/>
  <c r="AG422" i="1"/>
  <c r="AZ294" i="1"/>
  <c r="BB294" i="1" s="1"/>
  <c r="AG905" i="1"/>
  <c r="AH905" i="1" s="1"/>
  <c r="AI905" i="1" s="1"/>
  <c r="AT932" i="1" l="1"/>
  <c r="AH315" i="1"/>
  <c r="AI315" i="1" s="1"/>
  <c r="AG864" i="1"/>
  <c r="AH864" i="1" s="1"/>
  <c r="AI864" i="1" s="1"/>
  <c r="AZ423" i="1"/>
  <c r="BB423" i="1" s="1"/>
  <c r="AT936" i="1"/>
  <c r="AT937" i="1" s="1"/>
  <c r="AI813" i="1"/>
  <c r="AI812" i="1"/>
  <c r="AZ931" i="1"/>
  <c r="AA936" i="1"/>
  <c r="AA938" i="1" s="1"/>
  <c r="AG423" i="1"/>
  <c r="AG931" i="1"/>
  <c r="AG36" i="1"/>
  <c r="AG932" i="1" s="1"/>
  <c r="AG930" i="1"/>
  <c r="AZ36" i="1"/>
  <c r="AH423" i="1"/>
  <c r="AI423" i="1" s="1"/>
  <c r="AZ812" i="1"/>
  <c r="BB812" i="1" s="1"/>
  <c r="BB810" i="1"/>
  <c r="AB932" i="1"/>
  <c r="AB938" i="1" s="1"/>
  <c r="AU936" i="1"/>
  <c r="AU937" i="1" s="1"/>
  <c r="AZ930" i="1"/>
  <c r="AH36" i="1" l="1"/>
  <c r="AI36" i="1" s="1"/>
  <c r="AG936" i="1"/>
  <c r="AZ936" i="1"/>
  <c r="AG938" i="1"/>
  <c r="AZ932" i="1"/>
  <c r="BB36" i="1"/>
  <c r="BB934" i="1" s="1"/>
  <c r="AF934" i="1"/>
  <c r="AI934" i="1" s="1"/>
  <c r="AZ937" i="1" l="1"/>
  <c r="AZ934" i="1"/>
  <c r="AZ946" i="1" s="1"/>
</calcChain>
</file>

<file path=xl/sharedStrings.xml><?xml version="1.0" encoding="utf-8"?>
<sst xmlns="http://schemas.openxmlformats.org/spreadsheetml/2006/main" count="6546" uniqueCount="1118">
  <si>
    <t>PLANTILLA DE PERSONAL MENSUAL 2024</t>
  </si>
  <si>
    <t>PLANTILLA DE PERSONA ANUAL 2024</t>
  </si>
  <si>
    <t>2da. Modificación (01/10/2024)</t>
  </si>
  <si>
    <t>PRESIDENCIA MUNICIPAL</t>
  </si>
  <si>
    <t xml:space="preserve"> Puesto</t>
  </si>
  <si>
    <t xml:space="preserve">Fecha de </t>
  </si>
  <si>
    <t>Antigüedad</t>
  </si>
  <si>
    <t>Salario + Compensación</t>
  </si>
  <si>
    <t>Incremento</t>
  </si>
  <si>
    <t>Total incremento</t>
  </si>
  <si>
    <t>Salario+ Compensa por previsión</t>
  </si>
  <si>
    <t>Salario</t>
  </si>
  <si>
    <t>Compensación por previsión</t>
  </si>
  <si>
    <t>Salario Diario</t>
  </si>
  <si>
    <t>% de</t>
  </si>
  <si>
    <t>Quinquenio</t>
  </si>
  <si>
    <t>ISPT</t>
  </si>
  <si>
    <t>SAE</t>
  </si>
  <si>
    <t>45 Días de  Aguinaldo</t>
  </si>
  <si>
    <t xml:space="preserve">45% Prima Vacacional </t>
  </si>
  <si>
    <t>IMSS</t>
  </si>
  <si>
    <t>RCV</t>
  </si>
  <si>
    <t>INFONAVIT</t>
  </si>
  <si>
    <t>Fondo de Ahorro</t>
  </si>
  <si>
    <t>Impuesto Nominal</t>
  </si>
  <si>
    <t xml:space="preserve">SAE </t>
  </si>
  <si>
    <t>45 Días de Aguinaldo</t>
  </si>
  <si>
    <t xml:space="preserve"> 45% Prima Vacacional</t>
  </si>
  <si>
    <t xml:space="preserve">RCV </t>
  </si>
  <si>
    <t xml:space="preserve">INFONAVIT </t>
  </si>
  <si>
    <t>No.</t>
  </si>
  <si>
    <t>Categoria</t>
  </si>
  <si>
    <t>Nombre</t>
  </si>
  <si>
    <t>Ingreso</t>
  </si>
  <si>
    <t>Social Multiple mensual</t>
  </si>
  <si>
    <t>Mensual</t>
  </si>
  <si>
    <t>Social multiple mensual</t>
  </si>
  <si>
    <t>Diario</t>
  </si>
  <si>
    <t>Integrado</t>
  </si>
  <si>
    <t>Quincenal</t>
  </si>
  <si>
    <t>Anual</t>
  </si>
  <si>
    <t>Social multiple Anual</t>
  </si>
  <si>
    <t>CONFIANZA</t>
  </si>
  <si>
    <t>BRIONES TORRES JORGE ALBERTO</t>
  </si>
  <si>
    <t>ASESOR DEL PRESIDENTE</t>
  </si>
  <si>
    <t>PEÑA PEREZ BLAS EDGARDO</t>
  </si>
  <si>
    <t>COORDINACION DE COMUNICACIÓN SOCIAL, PRENSA Y DIFUSION</t>
  </si>
  <si>
    <t>OTERO OTERO LAURA GUADALUPE</t>
  </si>
  <si>
    <t>COORDINACIÓN DE RELACIONES PUBLICAS</t>
  </si>
  <si>
    <t>CERVANTES ROSAS FRANCISCO MISAEL</t>
  </si>
  <si>
    <t xml:space="preserve">COORDINADOR DE EJE DE ECONOMIA </t>
  </si>
  <si>
    <t>JUAREZ FLANDEZ JESUS</t>
  </si>
  <si>
    <t>COORDINADOR DE EJE DE SERVICIOS</t>
  </si>
  <si>
    <t>VILLEGAS NUÑEZ SANDRA GABRIELA</t>
  </si>
  <si>
    <t>COORDINADOR DE EJE DE TERRITORIO Y EQUILIBRIO</t>
  </si>
  <si>
    <t>VACANTE</t>
  </si>
  <si>
    <t>COORDINADOR DE GIRAS Y EVENTOS</t>
  </si>
  <si>
    <t>MUÑOZ DE LA TEJERA OSCAR ISMAEL</t>
  </si>
  <si>
    <t xml:space="preserve">COORDINADOR DE PLANEACION </t>
  </si>
  <si>
    <t>LEON VAZQUEZ JAZMIN GUADALUPE</t>
  </si>
  <si>
    <t>ENLACE INTERISTITUCIONAL</t>
  </si>
  <si>
    <t>ALVAREZ VACA JAIRO ARMANDO</t>
  </si>
  <si>
    <t>PRESIDENTE MUNICIPAL</t>
  </si>
  <si>
    <t>MUÑOZ DE LA TEJERA JAIME RAUL</t>
  </si>
  <si>
    <t>SECRETARIO PARTICULAR</t>
  </si>
  <si>
    <t>TOTAL CONFIANZA</t>
  </si>
  <si>
    <t>BASE</t>
  </si>
  <si>
    <t>RAMÍREZ CENTENO MIRIAM</t>
  </si>
  <si>
    <t>AUXILIAR DE COMUNICACIÓN SOCIAL A</t>
  </si>
  <si>
    <t>BERNAL CAMACHO ANGEL MOISES</t>
  </si>
  <si>
    <t>AUXILIAR DE COMUNICACIÓN SOCIAL B</t>
  </si>
  <si>
    <t>MEJIA ARVIZU JOSE ANTONIO</t>
  </si>
  <si>
    <t>MEJIA VILLEGAS ARELY NEFTALI</t>
  </si>
  <si>
    <t>AUXILIAR DE GIRAS Y EVENTOS A</t>
  </si>
  <si>
    <t>MENDEZ GARCIA JUAN JOSE</t>
  </si>
  <si>
    <t>AUXILIAR DE GIRAS Y EVENTOS B</t>
  </si>
  <si>
    <t xml:space="preserve">CHOFER DE TRASLADOS </t>
  </si>
  <si>
    <t>AUXILIAR DE GIRAS Y EVENTOS C</t>
  </si>
  <si>
    <t>HERRERA BRIONES JULIO CESAR</t>
  </si>
  <si>
    <t>AUXILIAR DE PLANEACION A</t>
  </si>
  <si>
    <t>MANCILLA MARTINEZ ANTONIA SANDY</t>
  </si>
  <si>
    <t>AUXILIAR DE PLENEACIÓN B</t>
  </si>
  <si>
    <t>CONTRERAS RUIZ MAGDALENA</t>
  </si>
  <si>
    <t>AUXILIAR DE PRESIDENCIA</t>
  </si>
  <si>
    <t>GALVAN DE ANDA GUSTAVO JAVIER</t>
  </si>
  <si>
    <t>AUXILIAR DE PROGRAMAS DE PLANEACION</t>
  </si>
  <si>
    <t>RIVERA RAMÍREZ PATRICIA</t>
  </si>
  <si>
    <t>AUXILIAR DEL SECRETARIO PARTICULAR</t>
  </si>
  <si>
    <t>LIZARRAGA PEREZ BRAULIO JOSUE</t>
  </si>
  <si>
    <t>AYUDANTE GENERAL</t>
  </si>
  <si>
    <t>CARDENAS GARCIA MIRIAM PAULINA</t>
  </si>
  <si>
    <t>ENCARGADO DE EDICION Y OPERACIÓN</t>
  </si>
  <si>
    <t>ALVAREZ SAUCEDO LILIANA DEL ROSARIO</t>
  </si>
  <si>
    <t>ENCARGADO DE MEDIOS AUDIOVISUALES A</t>
  </si>
  <si>
    <t>RANGEL GAMBA MARCELA MARIA</t>
  </si>
  <si>
    <t>INCLUSIÓN SOCIAL</t>
  </si>
  <si>
    <t>TERAN CANTERO LUIS FERNANDO</t>
  </si>
  <si>
    <t>CANO AGUILAR ANA CRISTINA</t>
  </si>
  <si>
    <t>INCLUSIÓN SOCIAL B</t>
  </si>
  <si>
    <t>TOTAL PLAZAS AUTORIZADAS</t>
  </si>
  <si>
    <t>TOTAL BASE</t>
  </si>
  <si>
    <t>TOTAL PLAZAS OCUPADAS</t>
  </si>
  <si>
    <t>TOTAL PRESIDENCIA MUNICIPAL</t>
  </si>
  <si>
    <t>TOTAL PLAZAS VACANTES</t>
  </si>
  <si>
    <t>INSTITUTO MUNICIPAL DE LA MUJER</t>
  </si>
  <si>
    <t>Clave</t>
  </si>
  <si>
    <t>GOVEA LOPEZ LUZ ELENA</t>
  </si>
  <si>
    <t>ENCARGDADA DE LA COORDINACION DE LA MUJER</t>
  </si>
  <si>
    <t>CADENA VEGA PATRICIA</t>
  </si>
  <si>
    <t>ENCARGADA DE EXPEDIENTES</t>
  </si>
  <si>
    <t>MARTINEZ CHARRE OLIVIA</t>
  </si>
  <si>
    <t xml:space="preserve">ATENCION CIUDADANA </t>
  </si>
  <si>
    <t>RAMIREZ LOPEZ ROSALVA</t>
  </si>
  <si>
    <t>ATENCION CIUDADANA B</t>
  </si>
  <si>
    <t>SANCHEZ ARREDONDO MAGDALENA</t>
  </si>
  <si>
    <t>AUXILIAR DE JURIDICO B</t>
  </si>
  <si>
    <t>SUMAR TRES INCREMET</t>
  </si>
  <si>
    <t>ENRIQUEZ GONZALEZ BARBARA GUADALUPE</t>
  </si>
  <si>
    <t>PSICOLOGA A</t>
  </si>
  <si>
    <t>TOTAL INSTITUTO MUNICIPAL DE LA MUJER</t>
  </si>
  <si>
    <t>H. AYUNTAMIENTO</t>
  </si>
  <si>
    <t>GARCÍA MONJARAS AIDA VETH</t>
  </si>
  <si>
    <t>REGIDOR</t>
  </si>
  <si>
    <t>MARTINEZ SOLANO NORMA YADIRA</t>
  </si>
  <si>
    <t>MATA PEREZ JAIME</t>
  </si>
  <si>
    <t>PADRON RIVERA ANGEL</t>
  </si>
  <si>
    <t>RIVERA SANCHEZ KARINA</t>
  </si>
  <si>
    <t>SALINAS PEREZ JACINTO</t>
  </si>
  <si>
    <t>SANCHEZ CANO IRMA</t>
  </si>
  <si>
    <t>TORRES ORTIZ JUAN ANTONIO</t>
  </si>
  <si>
    <t>VILLEGAS VILLEGAS ADOLFO</t>
  </si>
  <si>
    <t>ZARAZUA RIOS LORENA</t>
  </si>
  <si>
    <t>CASTILLO GARCIA JENNIFER GUADALUPE</t>
  </si>
  <si>
    <t>AUXILIAR ADMINISTRATIVO A</t>
  </si>
  <si>
    <t>MANCILLA MARTINEZ YESENIA ESTHER</t>
  </si>
  <si>
    <t>AUXILIAR ADMINISTRATIVO B</t>
  </si>
  <si>
    <t>CRUZ SANCHEZ LUIS</t>
  </si>
  <si>
    <t>AUXILIAR ADMINISTRATIVO E</t>
  </si>
  <si>
    <t>FRIAS GARCIA ALEJANDRA MONSERRAT</t>
  </si>
  <si>
    <t>SALAZAR ROSTRO CECILIA</t>
  </si>
  <si>
    <t>ALVAREZ VALTIERRA CLARA ITZEL</t>
  </si>
  <si>
    <t>TOTAL H. AYUNTAMIENTO</t>
  </si>
  <si>
    <t>SINDICATURA</t>
  </si>
  <si>
    <t>RAMÍREZ ALMAGUER ASSAF AMINADAB</t>
  </si>
  <si>
    <t>ASESOR LEGAL</t>
  </si>
  <si>
    <t>GONZALEZ OTERO MARIA MAGDALENA</t>
  </si>
  <si>
    <t>SINDICO</t>
  </si>
  <si>
    <t>TOTAL SINDICATURA</t>
  </si>
  <si>
    <t>SECRETARIA DEL H. AYUNTAMIENTO</t>
  </si>
  <si>
    <t>ALVAREZ VALTIERRA JOSE ABRAHAM</t>
  </si>
  <si>
    <t>ASISTENTE LEGAL</t>
  </si>
  <si>
    <t>MARES SAUCEDO GUSTAVO ADOLFO</t>
  </si>
  <si>
    <t>AUTORIDAD DE MEJORA REGULATORIA</t>
  </si>
  <si>
    <t>AUXILIAR ADMINISTRATIVO DE JUZGADO CIVICO</t>
  </si>
  <si>
    <t>GONZALEZ SORIA CLAUDIO ALEJANDRO</t>
  </si>
  <si>
    <t>AUXILIAR DE JURIDICO A</t>
  </si>
  <si>
    <t>DEFENSOR DE OFICIO DE JUZGADO CIVICO</t>
  </si>
  <si>
    <t>ESTRADA DE LEON MARIA DE LA LUZ</t>
  </si>
  <si>
    <t>ENCARGADO DE ACCESO A LA INFORMACION PUBLICA</t>
  </si>
  <si>
    <t>SUAREZ SUAREZ JOSÉ ALEJANDRO</t>
  </si>
  <si>
    <t>ENCARGADO DE JURÍDICO Y DERECHOS HUMANOS</t>
  </si>
  <si>
    <t>FACILITADOR DE JUZGADO CIVICO</t>
  </si>
  <si>
    <t>JUEZ DE JUZGADO CIVICO</t>
  </si>
  <si>
    <t>MARTINEZ CRUZ LUCINA MARIA</t>
  </si>
  <si>
    <t>JURIDICO AUXILIAR</t>
  </si>
  <si>
    <t>MEDICO DE JUZGADO CIVICO</t>
  </si>
  <si>
    <t>PROCURADOR AUXILIAR DE LAS NIÑAS, NIÑOS Y ADOLESCENTES</t>
  </si>
  <si>
    <t>ROJAS RUIZ YESSICA BEATRIZ</t>
  </si>
  <si>
    <t>PSICOLOGA</t>
  </si>
  <si>
    <t>SECRETARIO DE ACUERDOS DE JUZGADO CIVICO</t>
  </si>
  <si>
    <t>MARTINEZ DOMINGUEZ ORLANDO ABRAHAM</t>
  </si>
  <si>
    <t>SECRETARIO DEL H. AYUNTAMIENTO</t>
  </si>
  <si>
    <t>MENDOZA LEDESMA JAIME</t>
  </si>
  <si>
    <t>SECRETARIO EJECUTIVO DEL SISTEMA LOCAL DE PROTECCION INTEGRAL DE LOS DERECHOS DE NIÑAS, NIÑOS Y ADOLECENTES</t>
  </si>
  <si>
    <t>DE ANDA VARGAS MARIA TERESA</t>
  </si>
  <si>
    <t>TRABAJADOR SOCIAL B</t>
  </si>
  <si>
    <t>SEGUNDO SUAREZ RAFAEL</t>
  </si>
  <si>
    <t>ARBITRO CALIFICADOR</t>
  </si>
  <si>
    <t>FERRO CAMPOS MA. DE LOS ANGELES</t>
  </si>
  <si>
    <t xml:space="preserve">AUXILIAR DE  ACCESO A LA INFORMACION </t>
  </si>
  <si>
    <t>OTERO GONZALEZ JOSE REMEDIOS</t>
  </si>
  <si>
    <t>ASESOR JURIDICO</t>
  </si>
  <si>
    <t>MUÑOZ CARDENAS GISELA YANIRA</t>
  </si>
  <si>
    <t xml:space="preserve">AUXILIAR DE ACCESO A LA INFORMACION PUBLICA </t>
  </si>
  <si>
    <t>TREJO GRANADOS ANTONIO</t>
  </si>
  <si>
    <t>AUXILIAR DE ARCHIVO</t>
  </si>
  <si>
    <t>TREJO SANDOVAL ESTHER ARELI</t>
  </si>
  <si>
    <t>BELMONT MILAN FERNANDO</t>
  </si>
  <si>
    <t>AUXILIAR DE DELEGADOS Y EJIDOS</t>
  </si>
  <si>
    <t xml:space="preserve">RICO MENDEZ J. JESUS   </t>
  </si>
  <si>
    <t>AUXILIAR DE EJIDOS Y DELEGADOS B</t>
  </si>
  <si>
    <t>VILLEGAS RIVERA ORQUIDIA PAOLA</t>
  </si>
  <si>
    <t>ACOSTA TERAN KARLA</t>
  </si>
  <si>
    <t>JUAREZ GONZALEZ MONSERRAT GUADALUPE</t>
  </si>
  <si>
    <t>AUXILIAR DE JURIDICO C</t>
  </si>
  <si>
    <t>PEREZ SALINAS CARLOS</t>
  </si>
  <si>
    <t>AUXILIAR DE SECRETARIA A</t>
  </si>
  <si>
    <t>AUXILIAR DE SECRETARIA B</t>
  </si>
  <si>
    <t>LINO GONZALEZ BERTHA ANABEL</t>
  </si>
  <si>
    <t>AUXILIAR DE SECRETARIA C</t>
  </si>
  <si>
    <t>VARGAS RANGEL MARIA ESMERALDA</t>
  </si>
  <si>
    <t>AUXILIAR JURIDICO C</t>
  </si>
  <si>
    <t>DELGADO MARTINEZ YAZMIN RAQUEL</t>
  </si>
  <si>
    <t xml:space="preserve">CELADOR </t>
  </si>
  <si>
    <t>CRUZ HERNANDEZ HECTOR IVAN</t>
  </si>
  <si>
    <t>MARTINEZ MENDEZ REYNA</t>
  </si>
  <si>
    <t xml:space="preserve">MENDIETA RANGEL MAURICIO </t>
  </si>
  <si>
    <t>PEÑA MEJIA ELIODORO</t>
  </si>
  <si>
    <t>COORDINADOR DE DELEGADOS</t>
  </si>
  <si>
    <t>ENRIQUEZ GARAY RAUL</t>
  </si>
  <si>
    <t>CRONISTA MUNICIPAL</t>
  </si>
  <si>
    <t>CHAVEZ HERNANDEZ GABRIEL</t>
  </si>
  <si>
    <t>ENCARGADO DE ARCHIVO</t>
  </si>
  <si>
    <t>GOMEZ SALAZAR ROSA ALEJANDRA</t>
  </si>
  <si>
    <t>SECRETARIA B</t>
  </si>
  <si>
    <t>SALAZAR MARTINEZ EVA MARIA</t>
  </si>
  <si>
    <t>RAMIREZ ALVAREZ JAIRO MANUEL</t>
  </si>
  <si>
    <t>TRABAJADOR SOCIAL A</t>
  </si>
  <si>
    <t>TOTAL SECRETARIA DEL H. AYUNTAMIENTO</t>
  </si>
  <si>
    <t>TESORERIA MUNICIPAL</t>
  </si>
  <si>
    <t>RAMÍREZ GARCÍA MARIA GUADALUPE</t>
  </si>
  <si>
    <t xml:space="preserve">ENCARGADA DE CAJAS </t>
  </si>
  <si>
    <t>ALVAREZ RIVERA MANUEL EDUARDO</t>
  </si>
  <si>
    <t>DIRECTOR DE CONTROL PATRIMONIAL Y ASUNTOS HACENDARIOS</t>
  </si>
  <si>
    <t>LUGO LOREDO SANDRA GUADALUPE</t>
  </si>
  <si>
    <t>DIRECTOR DE EGRESOS</t>
  </si>
  <si>
    <t>LUGO LOREDO MONICA DEL CARMEN</t>
  </si>
  <si>
    <t>DIRECTOR DE FINANZAS</t>
  </si>
  <si>
    <t>ESPEJEL PEÑA JUAN CARLOS</t>
  </si>
  <si>
    <t>FISCALIZADOR</t>
  </si>
  <si>
    <t>GOMEZ MEDINA J JESUS</t>
  </si>
  <si>
    <t>GONZALEZ TOVAR FIDEL</t>
  </si>
  <si>
    <t>GUZMAN ROJAS JOSE ISIDRO</t>
  </si>
  <si>
    <t>HERNANDEZ CERECEDO MARTIN ALEJANDRO</t>
  </si>
  <si>
    <t>MARTINEZ MEDINA CELEDONIO</t>
  </si>
  <si>
    <t>BECERRA GARCIA FRANCISCO JESUS</t>
  </si>
  <si>
    <t>VALTIERRA MORALES MA. BEATRIZ</t>
  </si>
  <si>
    <t>JEFE DE EGRESOS</t>
  </si>
  <si>
    <t>HUICHAPA GARCÍA MA GUADALUPE</t>
  </si>
  <si>
    <t>JEFE DE PROGRAMAS</t>
  </si>
  <si>
    <t>SANCHEZ RANGEL VERONICA</t>
  </si>
  <si>
    <t>JEFE DE PROYECTOS</t>
  </si>
  <si>
    <t>GARCIA DIAZ VICTOR HUGO</t>
  </si>
  <si>
    <t>JEFE DEL DEPARTAMENTO DE FISCALIZACION</t>
  </si>
  <si>
    <t>CANDELAS ESCALERA OMAR SHESUAFF</t>
  </si>
  <si>
    <t xml:space="preserve">JEFE DEL DEPARTAMENTO DE IMPUESTO PREDIAL Y CATASTRO </t>
  </si>
  <si>
    <t>HURTADO PÉREZ SANDRA ALICIA</t>
  </si>
  <si>
    <t>TESORERO MUNICIPAL</t>
  </si>
  <si>
    <t>MANRIQUEZ GONZALEZ ADRIANA</t>
  </si>
  <si>
    <t>ASISTENTE CONTABLE</t>
  </si>
  <si>
    <t>GONZALEZ AGUILAR PEDRO FRANCISCO</t>
  </si>
  <si>
    <t>RAMÍREZ TERAN MA LORENA</t>
  </si>
  <si>
    <t>CHARRE PALACIOS MORAYMA GUADALUPE</t>
  </si>
  <si>
    <t>AUXILIAR CONTABLE</t>
  </si>
  <si>
    <t>CONTRERAS COBOS ROSARIO PATRICIA</t>
  </si>
  <si>
    <t>ESTRADA ARREDONDO MARTIN GIL</t>
  </si>
  <si>
    <t>MATEHUALA VEGA YADIRA ARACELI</t>
  </si>
  <si>
    <t>OLVERA MACIAS ALMA REBECA</t>
  </si>
  <si>
    <t>RIVERA SANCHEZ RODRIGO NAHUM</t>
  </si>
  <si>
    <t>SALAZAR MEDINA JOHANNA PAOLA</t>
  </si>
  <si>
    <t>SANCHEZ ÁLVAREZ BERENICE</t>
  </si>
  <si>
    <t>RUIZ PEREZ CARLOS ALBERTO</t>
  </si>
  <si>
    <t>AUXILIAR DE INVENTARIOS B</t>
  </si>
  <si>
    <t>MENDEZ BUENROSTRO WENDY JEANETTE</t>
  </si>
  <si>
    <t>AUXILIAR DE INVENTARIOS C</t>
  </si>
  <si>
    <t>GUERRERO OLVERA BLANCA CECILIA</t>
  </si>
  <si>
    <t>AUXILIAR DE INVENTARIOS D</t>
  </si>
  <si>
    <t>ALCAZAR FLORES MARIA GUADALUPE</t>
  </si>
  <si>
    <t>AUXILIAR DE PREDIAL</t>
  </si>
  <si>
    <t>RIVERA SANCHEZ AMERICA MARIA</t>
  </si>
  <si>
    <t>AUXILIAR DE TESORERIA A</t>
  </si>
  <si>
    <t>MATEHUALA VEGA SONIA PATRICIA</t>
  </si>
  <si>
    <t>AUXILIAR DE TESORERIA B</t>
  </si>
  <si>
    <t>GARCÍA BERNAL JUAN CARLOS</t>
  </si>
  <si>
    <t>AUXILIAR DE TRASLADO DE DOMINIO A</t>
  </si>
  <si>
    <t>SOLIS NAVARRO CESAR ARTURO</t>
  </si>
  <si>
    <t>CONTRERAS RUIZ RAUL</t>
  </si>
  <si>
    <t>CADENERO</t>
  </si>
  <si>
    <t>HERNANDEZ RAMÍREZ CRUZ ALBERTO</t>
  </si>
  <si>
    <t>HERNANDEZ SANCHEZ BONIFACIO</t>
  </si>
  <si>
    <t>ALVARADO ARVIZU AXEL GUILLERMO</t>
  </si>
  <si>
    <t>RAMÍREZ TORRES ISABEL HORTENCIA</t>
  </si>
  <si>
    <t>CAJERA</t>
  </si>
  <si>
    <t>IBARRA AMAYA SARA</t>
  </si>
  <si>
    <t>CAJERA DE INGRESOS</t>
  </si>
  <si>
    <t>PALACIOS BRIONES JUAN GUILLERMO</t>
  </si>
  <si>
    <t>FISCALIZADOR A</t>
  </si>
  <si>
    <t>CHAVERO RAMÍREZ J. ASCENCION</t>
  </si>
  <si>
    <t>NOTIFICADOR B</t>
  </si>
  <si>
    <t>FRIAS SORIA HECTOR MAURICIO</t>
  </si>
  <si>
    <t>PERITO VALUADOR</t>
  </si>
  <si>
    <t>HERNANDEZ JARAMILLO MARGARITO</t>
  </si>
  <si>
    <t>LEDESMA VICTOR</t>
  </si>
  <si>
    <t>RIOS HERNANDEZ MARIA EUGENIA</t>
  </si>
  <si>
    <t>SECRETARIA A</t>
  </si>
  <si>
    <t>RODRIGUEZ ORTIZ DIANA CAROLINA</t>
  </si>
  <si>
    <t>MARES ARTURO</t>
  </si>
  <si>
    <t>SUPERVISOR TECNICO</t>
  </si>
  <si>
    <t>SUPERVISOR TECNICO A</t>
  </si>
  <si>
    <t>0.22.48%</t>
  </si>
  <si>
    <t>RAMOS HERNANDEZ OLGA LIDIA</t>
  </si>
  <si>
    <t>TOTAL TESORERIA MUNICIPAL</t>
  </si>
  <si>
    <t>CONTRALORIA MUNICIPAL</t>
  </si>
  <si>
    <t>RAMIREZ HERNANDEZ ROBERTO</t>
  </si>
  <si>
    <t>AUDITOR A ORGANISMOS GUBERNAMENTALES</t>
  </si>
  <si>
    <t>LARA ALCAZAR MILDRED ALEJANDRA</t>
  </si>
  <si>
    <t>AUDITOR A ORGANISMOS GUBERNAMENTALES DESCENTRALIZADOS</t>
  </si>
  <si>
    <t>VAZQUEZ ARREDONDO OSCAR EDUARDO</t>
  </si>
  <si>
    <t>AUTORIDAD INVESTIGADORA</t>
  </si>
  <si>
    <t>GONZALEZ GALVAN GLORIA</t>
  </si>
  <si>
    <t>AUTORIDAD RESOLUTORA</t>
  </si>
  <si>
    <t>GARCIA ZARAZUA JUAN LUIS</t>
  </si>
  <si>
    <t>AUTORIDAD SUSTANCIADORA</t>
  </si>
  <si>
    <t>VALADEZ ESPINOLA MARTIN IVAN</t>
  </si>
  <si>
    <t xml:space="preserve">CONTRALOR MUNICIPAL </t>
  </si>
  <si>
    <t>MUÑOZ GARCIA EVERARDO</t>
  </si>
  <si>
    <t>JEFE DE EVALUACION Y CONTROL DE OBRA PUBLICA</t>
  </si>
  <si>
    <t>MONTERO RANGEL JOSÉ MANUEL</t>
  </si>
  <si>
    <t>SUBDIRECTOR DE AUDITORIA GUBERNAMENTAL A ORGANISMOS  DECENTRALIZADOS</t>
  </si>
  <si>
    <t>TOTAL CONTRALORIA MUNICIPAL</t>
  </si>
  <si>
    <t>JUZGADO MUNICIPAL</t>
  </si>
  <si>
    <t>CABRERA HUERTA APOLONIO</t>
  </si>
  <si>
    <t>JUEZ MUNICIPAL</t>
  </si>
  <si>
    <t>RIVERA AGUILAR JUANA YANETH</t>
  </si>
  <si>
    <t>SECRETARIO DE ACUERDOS</t>
  </si>
  <si>
    <t>TOTAL JUZGADO MUNICIPAL</t>
  </si>
  <si>
    <t>OFICIALIA MAYOR</t>
  </si>
  <si>
    <t>HERNANDEZ ALVAREZ FELIPE DE JESUS</t>
  </si>
  <si>
    <t>COORDINADOR DE PARQUE VEHICULAR</t>
  </si>
  <si>
    <t>AREVALO VAZQUEZ SALVADOR</t>
  </si>
  <si>
    <t>OFICIAL MAYOR</t>
  </si>
  <si>
    <t>JIMENEZ ZUÑIGA RICARDO</t>
  </si>
  <si>
    <t>ABASTECEDOR DE COMBUSTIBLE</t>
  </si>
  <si>
    <t>MENDEZ BADILLO CINTHIA</t>
  </si>
  <si>
    <t>ASISTENTE ADMINISTRATIVO DE OFICIALIA MAYOR A</t>
  </si>
  <si>
    <t>LOPEZ LEDEZMA ANA KARINA</t>
  </si>
  <si>
    <t>ASISTENTE ADMINISTRATIVO DE OFICIALIA MAYOR B</t>
  </si>
  <si>
    <t>SINECIO CAMACHO KARINA</t>
  </si>
  <si>
    <t>ASISTENTE ADMINISTRATIVO DE OFICIALIA MAYOR C</t>
  </si>
  <si>
    <t>BRIONES FRIAS GABRIELA</t>
  </si>
  <si>
    <t>MATA MONTES JUANA ITZEL</t>
  </si>
  <si>
    <t xml:space="preserve">AUXILIAR DEL COMITE DE ADQUISICIONES A </t>
  </si>
  <si>
    <t>CASTRO SOTELO MARIA ELENA</t>
  </si>
  <si>
    <t>AUXILIAR DEL COMITE DE ADQUISICIONES B</t>
  </si>
  <si>
    <t>GARCÍA GONZALEZ SERGIO RENE</t>
  </si>
  <si>
    <t>AUXILIAR DE COMPRAS A</t>
  </si>
  <si>
    <t>DOMINGUEZ JIMENEZ MARIA CLAUDINE</t>
  </si>
  <si>
    <t>LOYOLA MARTINEZ DEBORA RENATA</t>
  </si>
  <si>
    <t>AUXILIAR DE COMPRAS B</t>
  </si>
  <si>
    <t>PALACIOS PUENTE SALVADOR</t>
  </si>
  <si>
    <t>AUXILIAR DE COMPRAS C</t>
  </si>
  <si>
    <t>CHARRE VERDE ADRIANA</t>
  </si>
  <si>
    <t>AUXILIAR  DE COMPRAS D</t>
  </si>
  <si>
    <t>RAMÍREZ SALINAS NORMA ELVIA</t>
  </si>
  <si>
    <t>AUXILIAR DE CONMUNTADOR</t>
  </si>
  <si>
    <t>GODINEZ BARAJAS LUIS ERNESTO</t>
  </si>
  <si>
    <t>AUXILIAR DE DIAGNOSTICO</t>
  </si>
  <si>
    <t>HERNANDEZ PEREZ JUAN ANTONIO</t>
  </si>
  <si>
    <t>AUXILIAR DE MANTENIMIENTO AUTOMOTRIZ</t>
  </si>
  <si>
    <t>AUXILIAR DE NOMINA A</t>
  </si>
  <si>
    <t>OTERO OTERO FATIMA</t>
  </si>
  <si>
    <t>AUXILIAR DE NOMINA B</t>
  </si>
  <si>
    <t>RUIZ RIVERA MARIA DE LA  LUZ</t>
  </si>
  <si>
    <t xml:space="preserve">SALINAS GONZALEZ ALONDRA YULIANA </t>
  </si>
  <si>
    <t>AUXILIAR DE NOMINA C</t>
  </si>
  <si>
    <t>HERNANDEZ TORRES ARELY GUADALUPE</t>
  </si>
  <si>
    <t>AUXILIAR DE OFICIALIA DE PARTES</t>
  </si>
  <si>
    <t>CASTRO SOTELO MARIA DEL ROSARIO</t>
  </si>
  <si>
    <t>AUXILIAR DE OFICIALIA MAYOR</t>
  </si>
  <si>
    <t xml:space="preserve">CONTRERAS MARES ERIKA MAGDALENA </t>
  </si>
  <si>
    <t>GONZALEZ RANGEL MIRIAM SANTA</t>
  </si>
  <si>
    <t>AUXILIAR DE PARQUE VEHICULAR</t>
  </si>
  <si>
    <t>MONROY LOPEZ SANTA YESENIA</t>
  </si>
  <si>
    <t>AUXILIAR DE RRHH A</t>
  </si>
  <si>
    <t>GONZALEZ ORTIZ WENDY SUSANA</t>
  </si>
  <si>
    <t>AUXILIAR DE RRHH B</t>
  </si>
  <si>
    <t>PERALTA CRUZ NALLELI MIREILLE</t>
  </si>
  <si>
    <t>AUXILIAR DE RRHH D</t>
  </si>
  <si>
    <t>AUXILIAR DE RRHH E</t>
  </si>
  <si>
    <t>LOPEZ SANTIAGO TERESA LIZBETH</t>
  </si>
  <si>
    <t>AUXILIAR DE RRHH C</t>
  </si>
  <si>
    <t>SEGURA LEDESMA JOHAN OMAR</t>
  </si>
  <si>
    <t>AUXILIAR DE SERVICIOS GENERALES</t>
  </si>
  <si>
    <t>PADRON ALVAREZ MONTSERRAT</t>
  </si>
  <si>
    <t>AUXILIAR DEL COMITE DE ADQUISICIONES C</t>
  </si>
  <si>
    <t>LINO SANCHEZ JORGE DOMINGO</t>
  </si>
  <si>
    <t>AYUDANTE DE MANTENIMIENTO</t>
  </si>
  <si>
    <t>MORALES RUIZ JESUS BRAYAM</t>
  </si>
  <si>
    <t>AYUDANTE DE MANTENIMIENTO B</t>
  </si>
  <si>
    <t>DOMÍNGUEZ SUÁREZ EUSEBIO ENEDINO</t>
  </si>
  <si>
    <t>AYUDANTE DE MECANICO</t>
  </si>
  <si>
    <t>CANO ARVIZU MA ISBAEL</t>
  </si>
  <si>
    <t>AYUDANTE GENERAL DE OFICIALIA</t>
  </si>
  <si>
    <t>JAIMES GONZALEZ ANGEL</t>
  </si>
  <si>
    <t>CHOFER DE TRASLADOS A</t>
  </si>
  <si>
    <t>GARCÍA J REYES</t>
  </si>
  <si>
    <t>HERNANDEZ HERNANDEZ BRUNO HECTOR</t>
  </si>
  <si>
    <t>RODRÍGUEZ RAMÍREZ ABRAHAM FERNANDO</t>
  </si>
  <si>
    <t>ECARGADO DE INFORMATICA</t>
  </si>
  <si>
    <t>RAMOS HERNANDEZ BLANCA ESTELA</t>
  </si>
  <si>
    <t>ENCARGADA DE NOMINA</t>
  </si>
  <si>
    <t>MARTINEZ MATA EDUARDO</t>
  </si>
  <si>
    <t>ENCARGADO DE MANTENIMIENTO</t>
  </si>
  <si>
    <t>PINEDA BLANCAS MARIO ARTURO</t>
  </si>
  <si>
    <t>ENCARGADO DE SERVICIOS GENERALES</t>
  </si>
  <si>
    <t>SUAREZ VEGA ELVA LETICIA</t>
  </si>
  <si>
    <t>ENCARGADO DEL DEPARTAMENTO DE COMPRAS</t>
  </si>
  <si>
    <t>HERNANDEZ PEREZ SALVADOR</t>
  </si>
  <si>
    <t>MECANICO</t>
  </si>
  <si>
    <t>RODRIGUEZ SALAZAR ALFREDO SILVINO</t>
  </si>
  <si>
    <t>RECEPCIONISTA</t>
  </si>
  <si>
    <t>GUTIERREZ VEGA ALMA DEL ROCIO</t>
  </si>
  <si>
    <t>SECRETARIA "A"</t>
  </si>
  <si>
    <t>RAMIREZ GARCIA ERIK DANIEL</t>
  </si>
  <si>
    <t>TECNICO DE INFORMATICA</t>
  </si>
  <si>
    <t>RIVERA PEREZ JUAN PABLO</t>
  </si>
  <si>
    <t>TORRES ORTIZ ISSAC</t>
  </si>
  <si>
    <t>VELAZQEZ OVIEDO JAN EUTIQUIO</t>
  </si>
  <si>
    <t>TOTAL OFICIALIA MAYOR</t>
  </si>
  <si>
    <t>DIRECCIÓN DE ECONOMIA E INNOVACIÓN</t>
  </si>
  <si>
    <t>BELTRAN AVILA SAMUEL</t>
  </si>
  <si>
    <t>DIRECTOR DE ECONOMIA E INNOVACIÓN</t>
  </si>
  <si>
    <t>BRIONES LUNA CLAUDIA ARELY</t>
  </si>
  <si>
    <t>SECRETARIA D</t>
  </si>
  <si>
    <t>ZARATE RAMIREZ ENRIQUE</t>
  </si>
  <si>
    <t>TECNICO DE ECONOMIA E INNOVACION A</t>
  </si>
  <si>
    <t>TECNICO DE ECONOMIA E INNOVACION C</t>
  </si>
  <si>
    <t>JUAREZ RIVERA PEDRO DE JESUS</t>
  </si>
  <si>
    <t>TECNICO DE ECONOMIA E INNOVACION D</t>
  </si>
  <si>
    <t>VALTIERRA GUTIERREZ LIZBETH MARIA</t>
  </si>
  <si>
    <t>TECNICO DE PROGRAMAS</t>
  </si>
  <si>
    <t>HERNANDEZ TREJO GUSTAVO</t>
  </si>
  <si>
    <t>TOTAL DIR. DE ECONOMIA E INNOVACIÓN</t>
  </si>
  <si>
    <t>DIRECCIÓN DE DESARROLLO AGROPECUARIO</t>
  </si>
  <si>
    <t>Plaza congelada</t>
  </si>
  <si>
    <t>DIRECTOR DE DESARROLLO AGROPECUARIO</t>
  </si>
  <si>
    <t xml:space="preserve">MALDONADO ARROYO MANUEL </t>
  </si>
  <si>
    <t>TÉCNICO DE PROGRAMAS AGROPECUARIOS</t>
  </si>
  <si>
    <t xml:space="preserve">PÉREZ VELÁZQUEZ URVANO EDGAR </t>
  </si>
  <si>
    <t xml:space="preserve">RAMÍREZ QUINTANA EDUARDO GUADALUPE </t>
  </si>
  <si>
    <t>MATA PEREZ BRENDA GUADALUPE</t>
  </si>
  <si>
    <t xml:space="preserve">AUXILIAR ADMINISTRATIVO DE DESARROLLO AGROPECUARIO </t>
  </si>
  <si>
    <t>PEREZ HERNANDEZ MARTHA EVELIA</t>
  </si>
  <si>
    <t>AUXILIAR DE DESARROLLO AGROPECUARIO</t>
  </si>
  <si>
    <t>GARCÍA RANGEL JUAN ANTONIO</t>
  </si>
  <si>
    <t>AUXILIAR OPERATIVO B</t>
  </si>
  <si>
    <t>BARCENAS GARCIA MA TERESA</t>
  </si>
  <si>
    <t>CHOFER B</t>
  </si>
  <si>
    <t>ORDUÑA SALINAS ESMERALDA</t>
  </si>
  <si>
    <t>ENCARGADO DE MEDIOS AUDIOVISUALES B</t>
  </si>
  <si>
    <t>RANGEL GUERRERO ELOY</t>
  </si>
  <si>
    <t>SUPERVISOR DE DESARROLLO AGROPECUARIO</t>
  </si>
  <si>
    <t>TORRES TAPIA GILBERTO</t>
  </si>
  <si>
    <t>RAMOS GONZALEZ HUGO</t>
  </si>
  <si>
    <t>OTERO PRADO J. REMEDIOS</t>
  </si>
  <si>
    <t>TECNICO DE PROGRAMAS B</t>
  </si>
  <si>
    <t>TOTAL DIR. DE DESARROLLO AGROPECUARIO</t>
  </si>
  <si>
    <t>DIRECCIÓN DE DESARROLLO TURISTICO</t>
  </si>
  <si>
    <t>OVIEDO FLORES MARIA ISABEL</t>
  </si>
  <si>
    <t>DIR. DE DESARROLLO TURISTICO</t>
  </si>
  <si>
    <t>JUAREZ ÁLVAREZ MARCO ANTONIO</t>
  </si>
  <si>
    <t>COORDINADOR OPERATIVO</t>
  </si>
  <si>
    <t>SANCHEZ HERNANDEZ MARTHA SOLEDAD</t>
  </si>
  <si>
    <t>TECNICO DE TURISMO</t>
  </si>
  <si>
    <t>TOTAL DIRECCIÓN DE DESARROLLO TURISTICO</t>
  </si>
  <si>
    <t>DIRECCIÓN GENERAL DE INFRAESTRUCTURA MUNICIPAL Y OBRAS</t>
  </si>
  <si>
    <t xml:space="preserve">ARELLANO MARTINEZ MARTHA ESTHELA </t>
  </si>
  <si>
    <t>ASESOR JURIDICO A</t>
  </si>
  <si>
    <t>CORIA VALDIOSERA ALDO</t>
  </si>
  <si>
    <t>DIR. GENERAL DE INFRAESTRUCTURA MUNICIPAL Y OBRAS</t>
  </si>
  <si>
    <t>VAZQUEZ NUÑEZ ZARAHID GUADALUPE</t>
  </si>
  <si>
    <t>ESPECIALISTA EN OBRAS Y PROYECTOS PARA INMUEBLES HISTORICOS</t>
  </si>
  <si>
    <t>AGUILAR VALERO ISRAEL AZPARZAT</t>
  </si>
  <si>
    <t>JEFE DE DEPARTAMENTO DE CONSERVACION DE INFRAESTRUCTURA MUNICIPAL Y CAMINOS</t>
  </si>
  <si>
    <t>TORRES CALZADA CARLOS ENRIQUE</t>
  </si>
  <si>
    <t>JEFE DE PLANEACION Y PROYECTOS DE DGIMO</t>
  </si>
  <si>
    <t>PONS RAZO JOSE FRANCISCO</t>
  </si>
  <si>
    <t>SUBDIRECTOR OPERATIVO</t>
  </si>
  <si>
    <t>CABRERA MORALES ROSA MARIA</t>
  </si>
  <si>
    <t>AUXILIAR DE INFRAESTRUCTURA MUNICIPAL Y OBRAS</t>
  </si>
  <si>
    <t>VELAZQUEZ JIMENEZ J. NICOLAS</t>
  </si>
  <si>
    <t>PONS RAZO JOSE ADOLFO</t>
  </si>
  <si>
    <t>AUXILIAR OPERATIVO ADMINISTRATIVO</t>
  </si>
  <si>
    <t>QUEVEDO QUEVEDO VICTOR ANTONIO</t>
  </si>
  <si>
    <t>CHECADOR Y CADENERO</t>
  </si>
  <si>
    <t>RAMÍREZ CABRERA JESUS</t>
  </si>
  <si>
    <t>BADILLO ROJAS OMAR ISAIAS</t>
  </si>
  <si>
    <t>CHOFER OPERADOR</t>
  </si>
  <si>
    <t xml:space="preserve">BAEZA RAMÍREZ ESTEBAN </t>
  </si>
  <si>
    <t>GARCÍA MENDIETA ARTURO</t>
  </si>
  <si>
    <t>GONZALEZ PRADO J CRUZ</t>
  </si>
  <si>
    <t>GONZALEZ RANGEL JOSÉ LUIS</t>
  </si>
  <si>
    <t>MEDELLIN IBAÑEZ MAXIMILIANO RICARDO</t>
  </si>
  <si>
    <t>PADRON GARCÍA JUAN CARLOS</t>
  </si>
  <si>
    <t>CAMPOS SANCHEZ JOSÉ ISRAEL</t>
  </si>
  <si>
    <t>DIBUJANTE "A"</t>
  </si>
  <si>
    <t>SALAZAR SANTIAGO JONATHAN ABEL</t>
  </si>
  <si>
    <t>DIBUJANTE "B"</t>
  </si>
  <si>
    <t>HERNANDEZ JARAMILLO ROCIO</t>
  </si>
  <si>
    <t>ENCARGADA DE EXPEDIENTES TECNICOS</t>
  </si>
  <si>
    <t>MARMOLEJO ESPINOLA HUGO</t>
  </si>
  <si>
    <t>ENCARGADO DE BACHEO</t>
  </si>
  <si>
    <t>HUERTA RAMOS CLAUDIO</t>
  </si>
  <si>
    <t>RESIDENTE</t>
  </si>
  <si>
    <t>BRIONES SANCHEZ JOSE FILOMENO</t>
  </si>
  <si>
    <t>SOBRESTANTE</t>
  </si>
  <si>
    <t>TOTAL DIRECCIÓN GENERAL DE INFRAESTRUCTURA MUNICIPAL Y OBRAS</t>
  </si>
  <si>
    <t>DIRECCIÓN DE DESARROLLO URBANO</t>
  </si>
  <si>
    <t>MARTINEZ GONZALEZ CARLOS</t>
  </si>
  <si>
    <t>COORDINADOR DE PROYECTOS</t>
  </si>
  <si>
    <t>IBAÑEZ SANCHEZ JOSE ISRAEL</t>
  </si>
  <si>
    <t>DIRECTOR DE DESARROLLO URBANO</t>
  </si>
  <si>
    <t>CARREON TORRES ALEJANDRA ZULEYMA</t>
  </si>
  <si>
    <t xml:space="preserve">ENCARGADO DE CONTROL DE DESARROLLO </t>
  </si>
  <si>
    <t>MARTINEZ JARAMILLO ALMA ROSA</t>
  </si>
  <si>
    <t>ENCARGADO DE DE REGULARIZACION DE ASENTAMIENTOS HUMANOS</t>
  </si>
  <si>
    <t>RIOS MUÑIZ ROBERTO</t>
  </si>
  <si>
    <t>SUPERVISOR B</t>
  </si>
  <si>
    <t>CAMPOS SANCHEZ MA TERESA</t>
  </si>
  <si>
    <t>SUPERVISOR DE DESARROLLO URBANO</t>
  </si>
  <si>
    <t>CERVANTES ARREDONDO RITA ANGELICA</t>
  </si>
  <si>
    <t>ASISTENTE ADMINISTRATIVO DE DESARROLLO URBANO</t>
  </si>
  <si>
    <t>PEREZ OVIEDO EDGAR JOSUE</t>
  </si>
  <si>
    <t>AUXILIAR DE DESARROLLO URBANO A</t>
  </si>
  <si>
    <t>OTERO ALVARADO FELIPA</t>
  </si>
  <si>
    <t>AUXILIAR DE DESARROLLO URBANO C</t>
  </si>
  <si>
    <t>VILLANUEVA ARVIZU MARTHA ELIZABETH</t>
  </si>
  <si>
    <t>OLALDE SANCHEZ OSVALDO</t>
  </si>
  <si>
    <t>SUPERVISOR DE INFRAESTRUCTURA</t>
  </si>
  <si>
    <t>FLORES PEREZ IVETTE ALEJANDRA</t>
  </si>
  <si>
    <t>INSPECTOR DE OBRA</t>
  </si>
  <si>
    <t>FLORES PEREZ JOSUE</t>
  </si>
  <si>
    <t>MIRELES ALVAREZ FRANCISCO JAVIER</t>
  </si>
  <si>
    <t>RAMIREZ MENDOZA EDGAR FABRICIO</t>
  </si>
  <si>
    <t xml:space="preserve">VARGAS TREJO DANIELA </t>
  </si>
  <si>
    <t>TECNICO ESPECIALIZADO</t>
  </si>
  <si>
    <t xml:space="preserve">VACANTE </t>
  </si>
  <si>
    <t>TECNICO INSPECTOR DE OBRA</t>
  </si>
  <si>
    <t>OTERO OTERO SIMON DANIEL</t>
  </si>
  <si>
    <t>TÉCNICO INSPECTOR DE OBRA</t>
  </si>
  <si>
    <t>TOTAL DIRECCIÓN DE DESARROLLO URBANO</t>
  </si>
  <si>
    <t>DIRECCIÓN DE DESARROLLO SOCIAL</t>
  </si>
  <si>
    <t>TORRES NAVARRO LUCERO GUADALUPE</t>
  </si>
  <si>
    <t>ASESOR PEDAGOGICO</t>
  </si>
  <si>
    <t>BRIONES SALAZAR LUCIA</t>
  </si>
  <si>
    <t>ASISTENTE ADMINISTRATIVO DE DESARROLLO SOCIAL C</t>
  </si>
  <si>
    <t>MARTINEZ GONZALEZ LETICIA</t>
  </si>
  <si>
    <t>DIRECTOR DE DESARROLLO SOCIAL</t>
  </si>
  <si>
    <t>ENCARGADO DE LA UNIDAD ADMINISTRATIVA EN MATERIA DE LOS PUEBLOS Y COMUNIDADES INDIGENAS</t>
  </si>
  <si>
    <t>FERRO CAMPOS PAULINA ASSERETH</t>
  </si>
  <si>
    <t>ASISTENTE ADMINISTRATIVO DE DESARROLLO SOCIAL</t>
  </si>
  <si>
    <t>LOPEZ QUEVEDO NANCY CECILIA</t>
  </si>
  <si>
    <t>HERNANDEZ PALACIOS SONIA MICHELLE</t>
  </si>
  <si>
    <t>GOMEZ GOMEZ ADRIANA</t>
  </si>
  <si>
    <t>CABRERA VIVIA ROSA</t>
  </si>
  <si>
    <t>CRUZ CENTENO EDUARDO</t>
  </si>
  <si>
    <t>JUAREZ LOPEZ ALICIA</t>
  </si>
  <si>
    <t>CARDENAS MENDIETA ALEJANDRA</t>
  </si>
  <si>
    <t>JIMENEZ OTERO DIANA</t>
  </si>
  <si>
    <t xml:space="preserve">JUAREZ RIVERA ALONDRA RENATA </t>
  </si>
  <si>
    <t>TOVAR ROBLES ALEJANDRA</t>
  </si>
  <si>
    <t>ATENCION CIUDADANA C</t>
  </si>
  <si>
    <t>VAZQUEZ DIAZ CLAUDIA CECILIA</t>
  </si>
  <si>
    <t>AUXILIAR ADMINISTRATIVO D</t>
  </si>
  <si>
    <t>GUERRERO RAMIREZ PABLO</t>
  </si>
  <si>
    <t>GARCÍA ORTEGA JUAN VICTOR</t>
  </si>
  <si>
    <t xml:space="preserve">MEDELLÍN FLORES GIOVANNI NASAETH   </t>
  </si>
  <si>
    <t>COORDINADOR DE ATENCION CIUDADANA</t>
  </si>
  <si>
    <t>HERNANDEZ ALVAREZ VICTOR FRANCISCO</t>
  </si>
  <si>
    <t xml:space="preserve">COORDINADOR DE LA JUVENTUD </t>
  </si>
  <si>
    <t>RODRÍGUEZ ESTRADA MANUEL ALBERTO</t>
  </si>
  <si>
    <t>COORDINADOR GENERAL DE LA DIRECCIÓN DE DESARROLLO SOCIAL</t>
  </si>
  <si>
    <t>ESTRADA LEON LORENA</t>
  </si>
  <si>
    <t xml:space="preserve">ENCARGADO DE ATENCION A MIGRANTES </t>
  </si>
  <si>
    <t>LOYOLA ÁLVAREZ ANA KAREN</t>
  </si>
  <si>
    <t>ENLACE UVEG</t>
  </si>
  <si>
    <t>SANCHEZ LOPEZ LIZZETHE DE GUADALUPE</t>
  </si>
  <si>
    <t xml:space="preserve">AREVALO VAZQUEZ RAMON ANTONIO </t>
  </si>
  <si>
    <t>TECNICO DE DESARROLLO SOCIAL A</t>
  </si>
  <si>
    <t>PADRON RAMIREZ RODRIGO</t>
  </si>
  <si>
    <t>TECNICO DE PROGRAMAS ESTATALES Y FEDERALES</t>
  </si>
  <si>
    <t xml:space="preserve">BALTIERRA RAMÍREZ ARTURO </t>
  </si>
  <si>
    <t>TÉCNICO DE PROGRAMAS SOCIALES A</t>
  </si>
  <si>
    <t>TORRES MARTINEZ MARIANO</t>
  </si>
  <si>
    <t>TECNICO DE PROGRAMAS SOCIALES B</t>
  </si>
  <si>
    <t>TOTAL DIR. DE DESARROLLO SOCIAL</t>
  </si>
  <si>
    <t>DIRECCIÓN GENERAL DE SERVICIOS PUBLICOS MUNICIPALES</t>
  </si>
  <si>
    <t>SANCHEZ LOPEZ ENRIQUE FEDERICIO</t>
  </si>
  <si>
    <t>DIRECTOR GENERAL DE SERVICIOS PUBLICOS MUNICIPALES</t>
  </si>
  <si>
    <t>GUZMAN MORALES LUIS DANIEL</t>
  </si>
  <si>
    <t>COORDINADOR DE MANTENIMIENTO</t>
  </si>
  <si>
    <t>GUZMAN GARCIA RAFAEL</t>
  </si>
  <si>
    <t>ENCARGADO DE LUMINARIA PUBLICA</t>
  </si>
  <si>
    <t>ARVIZU REYNA CRISTINA LETICIA</t>
  </si>
  <si>
    <t>SUBDIRECTOR DE SERVICIOS PUBLICOS MUNICIPALES</t>
  </si>
  <si>
    <t>SALAZAR GUERRERO J.CONCEPCION</t>
  </si>
  <si>
    <t>ALBAÑIL</t>
  </si>
  <si>
    <t>MONZON ARREDONDO SUSANA</t>
  </si>
  <si>
    <t>AUXILIAR ADMINISTRATIVO DE SERVICIOS MUNICIPALES A</t>
  </si>
  <si>
    <t>SANCHEZ ARREDONDO MA. JUANA</t>
  </si>
  <si>
    <t>GONZALEZ FLORES ADAN</t>
  </si>
  <si>
    <t>AUXILIAR ADMINISTRATIVO DE SERVICIOS MUNICIPALES B</t>
  </si>
  <si>
    <t>CABRERA HERNANDEZ CARLOS ENRIQUE</t>
  </si>
  <si>
    <t>PEREZ LOPEZ J. BERNABE</t>
  </si>
  <si>
    <t>AUXILIAR DE CHOFER A</t>
  </si>
  <si>
    <t>RIVERA GARCIA OBED ALEXIS</t>
  </si>
  <si>
    <t>AUXILIAR DE CHOFER B</t>
  </si>
  <si>
    <t>RANGEL CASTILLO JORGE LUIS</t>
  </si>
  <si>
    <t>AUXILIAR DE LIMPIEZA</t>
  </si>
  <si>
    <t>CRUZ VARGAS MARISOL</t>
  </si>
  <si>
    <t>AUXILIAR DE SERVICIOS MUNICIPALES</t>
  </si>
  <si>
    <t>VALTIERRA RAMÍREZ MIGUEL ANGEL</t>
  </si>
  <si>
    <t>AYUDANTE A</t>
  </si>
  <si>
    <t>BAEZA RAMÍREZ LUIS</t>
  </si>
  <si>
    <t>AYUDANTE B</t>
  </si>
  <si>
    <t>BAEZA RAMÍREZ SANTOS</t>
  </si>
  <si>
    <t>BARCENAS JUAN CARLOS</t>
  </si>
  <si>
    <t>CASTILLO MIRANDA MARTIN PABLO</t>
  </si>
  <si>
    <t>MORALES SUAREZ JOSÉ LUIS</t>
  </si>
  <si>
    <t>RAMÍREZ FRIAS JUAN</t>
  </si>
  <si>
    <t>SUAREZ GALICIA FRANCISCO CONCEPCION</t>
  </si>
  <si>
    <t>VALTIERRA HERNANDEZ LUCIANO</t>
  </si>
  <si>
    <t>LOPEZ GARCÍA ISIDRO</t>
  </si>
  <si>
    <t>AYUDANTE C</t>
  </si>
  <si>
    <t>LOPEZ LINO MA DOLORES</t>
  </si>
  <si>
    <t>HERNANDEZ QUEVEDO MA. CONCEPCION</t>
  </si>
  <si>
    <t>RAMIREZ ALVAREZ GIOVANNI</t>
  </si>
  <si>
    <t>ALVARADO SOSA ANA LETICIA</t>
  </si>
  <si>
    <t>NUÑEZ RODOLFO CONCEPCIÓN</t>
  </si>
  <si>
    <t>AYUDANTE DE ALUMBRADO A</t>
  </si>
  <si>
    <t>CABRERA COLMENERO LORENZO</t>
  </si>
  <si>
    <t>AYUDANTE DE ALUMBRADO B</t>
  </si>
  <si>
    <t>FLORES PEREZ MARCO ANTONIO</t>
  </si>
  <si>
    <t>QUEVEDO LOPEZ RAMON</t>
  </si>
  <si>
    <t>OLVERA TEJEDA JOSÉ LUIS</t>
  </si>
  <si>
    <t>AYUDANTE DE ALUMBRADO C</t>
  </si>
  <si>
    <t>CARDENAS LEDESMA VICENTE</t>
  </si>
  <si>
    <t>AYUDANTE GENERAL A</t>
  </si>
  <si>
    <t>TAPIA HUERTA ADRIAN ALEJANDRO</t>
  </si>
  <si>
    <t>CARDENAS LEDESMA GABRIEL</t>
  </si>
  <si>
    <t>AYUDANTE GENERAL B</t>
  </si>
  <si>
    <t>DOMINGUEZ SUAREZ VICTOR</t>
  </si>
  <si>
    <t>GONZALEZ ÁLVAREZ RAUL</t>
  </si>
  <si>
    <t>PEREZ MANUEL</t>
  </si>
  <si>
    <t>RODRÍGUEZ ORDUÑA JOSÉ ANTONIO</t>
  </si>
  <si>
    <t>ROSAS REYES J REFUGIO</t>
  </si>
  <si>
    <t xml:space="preserve">RUIZ BARCENAS ROMAN </t>
  </si>
  <si>
    <t>HERNANDEZ SANCHEZ ANTONIO MODESTO</t>
  </si>
  <si>
    <t>BARRENDERO A</t>
  </si>
  <si>
    <t>MORENO CUENCA LUIS ANTONIO</t>
  </si>
  <si>
    <t>BARRENDERO B</t>
  </si>
  <si>
    <t>HERNANDEZ RODRÍGUEZ BRUNO FELICIANO</t>
  </si>
  <si>
    <t>BARRENDERO C</t>
  </si>
  <si>
    <t>RIVERA PERALTA EDITH</t>
  </si>
  <si>
    <t>BARRENDERO D</t>
  </si>
  <si>
    <t>CARDENAS CAMACHO REYNALDO</t>
  </si>
  <si>
    <t>CARDENAS MATA MA. LEONOR</t>
  </si>
  <si>
    <t>GARCIA BAEZA JESUS</t>
  </si>
  <si>
    <t>GARCÍA LOPEZ JOSÉ LUIS</t>
  </si>
  <si>
    <t>GARCÍA MATA IGNACIO</t>
  </si>
  <si>
    <t>GARCIA RANGEL ABEL</t>
  </si>
  <si>
    <t>JIMENEZ CAMPOS ANTONIA</t>
  </si>
  <si>
    <t>JIMENEZ LOPEZ JORGE LUIS</t>
  </si>
  <si>
    <t>MATA CARDENAS J. GUADALUPE</t>
  </si>
  <si>
    <t>MENDEZ RAMIREZ ARMANDO</t>
  </si>
  <si>
    <t>MIRANDA CARDENAS GABINO</t>
  </si>
  <si>
    <t>QUINTANA SALAZAR FAUSTINO PRICILIANO</t>
  </si>
  <si>
    <t>RAMÍREZ SALAZAR ALEJANDRO</t>
  </si>
  <si>
    <t>ARREDONDO MOYA NORA GUADALUPE</t>
  </si>
  <si>
    <t>TOVAR ROSALES JOSÉ</t>
  </si>
  <si>
    <t>ARVIZU ARVIZU MARIA ROSA</t>
  </si>
  <si>
    <t>NERI TRUJILLO LUIS GERARDO</t>
  </si>
  <si>
    <t>MORENO CAMACHO ELENA CLAUDIA</t>
  </si>
  <si>
    <t>PEREZ CORONILLA TIMOTEO</t>
  </si>
  <si>
    <t>DIAZ REYNA DANIEL ISAIAS</t>
  </si>
  <si>
    <t>BARRENDERO E</t>
  </si>
  <si>
    <t>CAMACHO SOTO JUAN MANUEL</t>
  </si>
  <si>
    <t>GALVAN GARCÍA FERNANDO</t>
  </si>
  <si>
    <t>CHOFER DE RECOLECCION A</t>
  </si>
  <si>
    <t>HERNANDEZ CANO MAURICIO</t>
  </si>
  <si>
    <t>HERNANDEZ ROQUE MIGUEL</t>
  </si>
  <si>
    <t>ELIZONDO SOTELO MARTIN</t>
  </si>
  <si>
    <t>CHOFER DE RECOLECCION B</t>
  </si>
  <si>
    <t>HUERTA AGUILAR JAVIER</t>
  </si>
  <si>
    <t>CHOFER DE RECOLECCION C</t>
  </si>
  <si>
    <t>BAEZA VEGA J TRINIDAD</t>
  </si>
  <si>
    <t>CHOFER DE RECOLECCION D</t>
  </si>
  <si>
    <t>ORTIZ RANGEL LUIS FRANCISCO</t>
  </si>
  <si>
    <t>CHOFER C</t>
  </si>
  <si>
    <t>SALINAS PADRON TOMAS</t>
  </si>
  <si>
    <t>SANCHEZ GONZALEZ FRANCISCO JAVIER</t>
  </si>
  <si>
    <t>ARREDONDO BRIONES JUAN APOLINAR</t>
  </si>
  <si>
    <t>CHOFER D</t>
  </si>
  <si>
    <t>CASAS SANCHEZ JOSE MARIA</t>
  </si>
  <si>
    <t xml:space="preserve">MORIN MARTINEZ JOSE EVERARDO                  </t>
  </si>
  <si>
    <t>CASAS SANCHEZ JUAN GERARDO</t>
  </si>
  <si>
    <t>CHOFER E</t>
  </si>
  <si>
    <t>ROJAS BARAJAS JOSÉ</t>
  </si>
  <si>
    <t>RUIZ SOTELO LUIS ROBERTO</t>
  </si>
  <si>
    <t>LOPEZ MORALES JORGE</t>
  </si>
  <si>
    <t>ENC. DEL TIRADERO</t>
  </si>
  <si>
    <t>PALACIOS PUENTE ALEJANDRO</t>
  </si>
  <si>
    <t>ENC. FUENTES</t>
  </si>
  <si>
    <t>BENITEZ VARGAS ANAHI DEIDRE</t>
  </si>
  <si>
    <t>ENCARGADO DE  PARQUES A</t>
  </si>
  <si>
    <t>QUINTANA RODRÍGUEZ JOSÉ MAURICIO</t>
  </si>
  <si>
    <t>ENCARGADO DE  PARQUES B</t>
  </si>
  <si>
    <t>TREJO MATA ALVARO</t>
  </si>
  <si>
    <t>ENCARGADO DE  PARQUES C</t>
  </si>
  <si>
    <t>PEREZ HERNANDEZ JOSE DE JESUS</t>
  </si>
  <si>
    <t>ENCARGADO DE  PARQUES D</t>
  </si>
  <si>
    <t>CRUZ GARCÍA SANJUAN</t>
  </si>
  <si>
    <t>MENDOZA CARLOS FRANCISCO</t>
  </si>
  <si>
    <t>OTERO AGUILAR SIDRONIO MAGDALENO</t>
  </si>
  <si>
    <t>ARREDONDO ALVAREZ LUIS FERNANDO</t>
  </si>
  <si>
    <t>RIVERA SALINAS LUZ MARIA</t>
  </si>
  <si>
    <t>RODRÍGUEZ MARTINEZ BLANCA LILIA</t>
  </si>
  <si>
    <t>RAMIREZ SALAZAR VICTOR</t>
  </si>
  <si>
    <t>MENDOZA SALINAS JOSÉ OCTAVIO</t>
  </si>
  <si>
    <t>SANCHEZ GONZALEZ NESTOR</t>
  </si>
  <si>
    <t>INTENDENTE A</t>
  </si>
  <si>
    <t>MARTINEZ MATEHUALA MICAELA</t>
  </si>
  <si>
    <t>INTENDENTE B</t>
  </si>
  <si>
    <t>ARREDONDO OLVERA PATRICIA</t>
  </si>
  <si>
    <t>INTENDENTE C</t>
  </si>
  <si>
    <t>ARVIZU RODRÍGUEZ LUIS</t>
  </si>
  <si>
    <t>BARCENAS GARCÍA MA. ESTHER</t>
  </si>
  <si>
    <t>CAMACHO SANCHEZ ERNESTO</t>
  </si>
  <si>
    <t>CARREON MATA MA. DEL CARMEN</t>
  </si>
  <si>
    <t>CRUZ VARGAS SOLEDAD</t>
  </si>
  <si>
    <t>CHAVERO MARTINEZ CARMEN BEATRIZ</t>
  </si>
  <si>
    <t>GARCÍA CRUZ ALICIA</t>
  </si>
  <si>
    <t>GARCÍA ROSALES ISRAEL</t>
  </si>
  <si>
    <t>GONZALEZ ARVIZU NANCY</t>
  </si>
  <si>
    <t>GONZALEZ ROJAS ERIKA</t>
  </si>
  <si>
    <t>GUERRERO LOPEZ MARIBEL</t>
  </si>
  <si>
    <t>HERNANDEZ ROJAS MA RAQUEL</t>
  </si>
  <si>
    <t>JIMENEZ VAZQUEZ SANDRA JANET</t>
  </si>
  <si>
    <t>LOREDO MORIN ROCIO AMALIA</t>
  </si>
  <si>
    <t>MARTINEZ MATEHULA MARTHA GUDALUPE</t>
  </si>
  <si>
    <t>MARTINEZ MIRANDA JANETH ESMERALDA</t>
  </si>
  <si>
    <t>MEDINA QUINTANA MA JESUS</t>
  </si>
  <si>
    <t>PERALTA CRUZ ANTONIA</t>
  </si>
  <si>
    <t>PEREZ QUEVEDO ESTELA</t>
  </si>
  <si>
    <t>QUEVEDO BALTIERRA MARIA DEL SOCORRO</t>
  </si>
  <si>
    <t>REYES ARAIZA RAQUEL</t>
  </si>
  <si>
    <t>RODRÍGUEZ HERNANDEZ MA. DE LOURDES</t>
  </si>
  <si>
    <t>SALAZAR LOPEZ MARIA DE LA LUZ ELENA</t>
  </si>
  <si>
    <t>SANCHEZ AGUILAR ROSA MARIA</t>
  </si>
  <si>
    <t>SANCHEZ RODRÍGUEZ SILVIA NOEMI</t>
  </si>
  <si>
    <t>TREJO SANCHEZ MARGARITA</t>
  </si>
  <si>
    <t>GARCIA SALAZAR EMITERIA</t>
  </si>
  <si>
    <t>ESPINOZA MENDEZ TERESA</t>
  </si>
  <si>
    <t>INTENDENTE D</t>
  </si>
  <si>
    <t>OTERO PRADO FRANCISCA</t>
  </si>
  <si>
    <t>RANGEL FONSECA MA. DEL CARMEN</t>
  </si>
  <si>
    <t>ARVIZU CRUZ ADAN</t>
  </si>
  <si>
    <t>JARDINERO A</t>
  </si>
  <si>
    <t>ORTA PEREZ JUAN ENRIQUE</t>
  </si>
  <si>
    <t>ROMERO SANCHEZ MARIA YANETH</t>
  </si>
  <si>
    <t>GONZALEZ ARVIZU ATANASIO</t>
  </si>
  <si>
    <t>SANCHEZ MATEHUALA DANIEL ISAIAS</t>
  </si>
  <si>
    <t>JARDINERO B</t>
  </si>
  <si>
    <t>FLORES CAMACHO ROBERTO</t>
  </si>
  <si>
    <t>OPERADOR DE MAQUINA</t>
  </si>
  <si>
    <t xml:space="preserve">RAMÍREZ JOSÉ LUCIO </t>
  </si>
  <si>
    <t>PEON</t>
  </si>
  <si>
    <t>CAMACHO MATA LUIS ALBERTO</t>
  </si>
  <si>
    <t>RECOLECTOR DE RSU A</t>
  </si>
  <si>
    <t>HERNANDEZ SALINAS LUIS MIGUEL</t>
  </si>
  <si>
    <t>CARDENAS LEDESMA IGNACIO</t>
  </si>
  <si>
    <t>CASTILLO GUZMAN DOLORES</t>
  </si>
  <si>
    <t>RECOLECTOR DE RSU B</t>
  </si>
  <si>
    <t>CASTILLO REYES FRANCISCO NOE</t>
  </si>
  <si>
    <t>RAMIREZ RAMIREZ LUIS ANTONIO</t>
  </si>
  <si>
    <t>SANTANA JIMENEZ ADRIAN</t>
  </si>
  <si>
    <t>BAUTISTA MORALES ISAIAS</t>
  </si>
  <si>
    <t>RECOLECTOR DE RSU C</t>
  </si>
  <si>
    <t>CHAIRE SANCHEZ JOSÉ</t>
  </si>
  <si>
    <t>FLORES FLORES JOSÉ LUIS</t>
  </si>
  <si>
    <t>RAMÍREZ GARCÍA VICTORINO</t>
  </si>
  <si>
    <t>CORONA BARCENAS MIGUEL ANGEL</t>
  </si>
  <si>
    <t>RECOLECTOR DE RSU D</t>
  </si>
  <si>
    <t>RANGEL LOREDO HIPOLITO</t>
  </si>
  <si>
    <t>RECOLECTOR DE RSU E</t>
  </si>
  <si>
    <t>HERNANDEZ CANO EDUARDO</t>
  </si>
  <si>
    <t>SUPERVISOR DE SERVICIOS MUNICIPALES</t>
  </si>
  <si>
    <t>MENDIETA ARREDONDO RUPERTO</t>
  </si>
  <si>
    <t>SUPERVISOR OPERATIVO</t>
  </si>
  <si>
    <t>SUPERVISOR OPERATIVO B</t>
  </si>
  <si>
    <t>CASTILLO OSCAR  ALEJANDRO</t>
  </si>
  <si>
    <t>TECNICO DE ALUMBRADO PUBLICO A</t>
  </si>
  <si>
    <t>GRIMALDO GONZALEZ GERARDO</t>
  </si>
  <si>
    <t>TECNICO DE ALUMBRADO PUBLICO B</t>
  </si>
  <si>
    <t>PALACIOS GONZALEZ VICTOR</t>
  </si>
  <si>
    <t>VELADOR A</t>
  </si>
  <si>
    <t>VARGAS TREJO ROBERTO</t>
  </si>
  <si>
    <t>QUEVEDO BENAVIDEZ LEOBARDO</t>
  </si>
  <si>
    <t>VELADOR D</t>
  </si>
  <si>
    <t>MORENO CUENCA VICTOR MANUEL</t>
  </si>
  <si>
    <t>VELADOR B</t>
  </si>
  <si>
    <t xml:space="preserve"> MIRANDA HERNANDEZ JOSE EFRAIN</t>
  </si>
  <si>
    <t>PEÑA VALTIERRA JOSÉ GUADALUPE</t>
  </si>
  <si>
    <t>VILLEGAS SANCHEZ JESUS</t>
  </si>
  <si>
    <t>RAMÍREZ AGUILAR ARMANDO</t>
  </si>
  <si>
    <t>ALVAREZ SANCHEZ ANTONIO</t>
  </si>
  <si>
    <t>GUERRERO MOYA ANGEL</t>
  </si>
  <si>
    <t>GUTIERREZ FLORES PEDRO</t>
  </si>
  <si>
    <t>MARTINEZ  HERNANDEZ JUAN</t>
  </si>
  <si>
    <t>ORTIZ ROSAS RAMIRO</t>
  </si>
  <si>
    <t>RAMIREZ RANGEL LUIS</t>
  </si>
  <si>
    <t>RAMÍREZ HERNANDEZ HERMENEGILDO</t>
  </si>
  <si>
    <t xml:space="preserve">VIGILANTE </t>
  </si>
  <si>
    <t>VARGAS ROBERTO</t>
  </si>
  <si>
    <t>VIGILANTE A</t>
  </si>
  <si>
    <t>RAMÍREZ JUAREZ EDUARDO</t>
  </si>
  <si>
    <t>SUPERVISOR OPERATIVO C</t>
  </si>
  <si>
    <t>TOTAL DIRECCIÓN GENERAL DE SERVICIOS PUBLICOS MUNICIPALES</t>
  </si>
  <si>
    <t>DIRECCIÓN DE CULTURA Y RECREACIÓN</t>
  </si>
  <si>
    <t>QUISTIAN RAMIREZ JAZMIN CAROLINA</t>
  </si>
  <si>
    <t>COORDINADOR DE CULTURA Y RECREACION</t>
  </si>
  <si>
    <t>BAEZA TORRES ALEJANDRA</t>
  </si>
  <si>
    <t xml:space="preserve">DIRECTOR DE CULTURA Y RECREACION </t>
  </si>
  <si>
    <t>GUTIERREZ MORALES SARA PAULINA</t>
  </si>
  <si>
    <t>INSTRUCTORA DE TALLER DE RITMOS LATINOS</t>
  </si>
  <si>
    <t>VILLARREAL NOGUERA OSCAR</t>
  </si>
  <si>
    <t>AUXILIAR DE CULTURA A</t>
  </si>
  <si>
    <t>CRUZ GUALITO MARIA ALICIA</t>
  </si>
  <si>
    <t>AUXILIAR DE CULTURA B</t>
  </si>
  <si>
    <t>GRANADOS GARCIA LILIA PATRICIA</t>
  </si>
  <si>
    <t>DOMINGUEZ GOVEA DANIELA GUADALUPE</t>
  </si>
  <si>
    <t>AUXILIAR DE DESPACHO</t>
  </si>
  <si>
    <t>VEGA ZUÑIGA JACQUELINE</t>
  </si>
  <si>
    <t>BLIOTECARIO A</t>
  </si>
  <si>
    <t>VELAZQUEZ RIVERA BRENDA</t>
  </si>
  <si>
    <t>MEDINA HERNANDEZ MARIA LUISA ROSARIO</t>
  </si>
  <si>
    <t>BLIOTECARIO B</t>
  </si>
  <si>
    <t>PRIETO RUIZ JANICE LIZZET</t>
  </si>
  <si>
    <t>CERVANTES ARELLANO SERGIO ANTONIO</t>
  </si>
  <si>
    <t>COORDINADOR DE DIFUSION</t>
  </si>
  <si>
    <t>CARDENAS ARREDONDO JAZMIN ELIZABETH</t>
  </si>
  <si>
    <t xml:space="preserve">COORDINADOR DE TALLERES </t>
  </si>
  <si>
    <t>LUCIO TORRES JUAN FERNANDO</t>
  </si>
  <si>
    <t>ENC. DE MODULO DE ACCESO A SERVICIOS DIGITALES</t>
  </si>
  <si>
    <t>CHAVEZ DOMINGUEZ LUIS ADRIAN</t>
  </si>
  <si>
    <t>PROMOTOR CULTURAL</t>
  </si>
  <si>
    <t>MARTINEZ ÁLVAREZ EDUARDO ALEJANDRO</t>
  </si>
  <si>
    <t>PEREZ TERAN GABRIELA</t>
  </si>
  <si>
    <t>RANGEL GONZALEZ BALTAZAR</t>
  </si>
  <si>
    <t>PEREZ HERNANDEZ MARTHA MA. DE LOURDES</t>
  </si>
  <si>
    <t>SECRETARIA CULTURAL</t>
  </si>
  <si>
    <t>TOTAL DIRECCIÓN DE CULTURA Y RECREACIÓN</t>
  </si>
  <si>
    <t>DIRECCIÓN DE RASTRO MUNICIPAL</t>
  </si>
  <si>
    <t>RAMOS CHARNICHARTH KRISTIANN EVARISTO</t>
  </si>
  <si>
    <t>DIR.  DE RASTRO MUNICIPAL</t>
  </si>
  <si>
    <t>RIVERA TORRES LUIS ARMANDO</t>
  </si>
  <si>
    <t>AUXILIAR DE AREAS</t>
  </si>
  <si>
    <t>GASPAR GONZALEZ ROGELIO</t>
  </si>
  <si>
    <t>AUXILIAR DE LIMPIEZA Y MANTENIMIENTO</t>
  </si>
  <si>
    <t>ÁLVAREZ ÁLVAREZ LUCAS</t>
  </si>
  <si>
    <t>AUXILIAR DE MANTENIMIENTO</t>
  </si>
  <si>
    <t>GONZALEZ GARCIA JOSE LUIS</t>
  </si>
  <si>
    <t>CHOFER Y ESTIBADOR</t>
  </si>
  <si>
    <t>MATA AGUILAR MARIA DE LA LUZ</t>
  </si>
  <si>
    <t>ENCARGADO DE  MAQUINA DE MENUDO</t>
  </si>
  <si>
    <t>LEDESMA CHAVERO RICARDO MARTIN</t>
  </si>
  <si>
    <t>JUAREZ LUNA JUAN DIEGO</t>
  </si>
  <si>
    <t>ESTIBADOR</t>
  </si>
  <si>
    <t>LINO ROBLEDO CARLOS</t>
  </si>
  <si>
    <t>ROJAS CASTILLO JUAN LUIS</t>
  </si>
  <si>
    <t>MATANCERO</t>
  </si>
  <si>
    <t>GARCIA TORRES JUAN</t>
  </si>
  <si>
    <t>HERNANDEZ MOLINERO JUAN CARLOS</t>
  </si>
  <si>
    <t>MATA RIVERA JAVIER</t>
  </si>
  <si>
    <t>ORTIZ ROSALES ERNESTO</t>
  </si>
  <si>
    <t>RODRIGUEZ MATA EDMANUEL</t>
  </si>
  <si>
    <t>SALAZAR ALVAREZ JORGE</t>
  </si>
  <si>
    <t>OVIEDO ALFARO BLANCA GUADALUPE</t>
  </si>
  <si>
    <t>VEGA JOSÉ LUIS</t>
  </si>
  <si>
    <t>VEGA JUAREZ JOSÉ JOVANNY</t>
  </si>
  <si>
    <t>VELAZQUEZ MUÑOZ JUAN JOSÉ</t>
  </si>
  <si>
    <t>TOTAL DIRECCIÓN DE RASTRO MUNICIPAL</t>
  </si>
  <si>
    <t>DIRECCIÓN DE SEGURIDAD PUBLICA</t>
  </si>
  <si>
    <t>LUEVANOS ACEVEDO FERNANDO</t>
  </si>
  <si>
    <t>COMISARIO</t>
  </si>
  <si>
    <t>ARREDONDO ARREDONDO JOSÉ CLEMENTE</t>
  </si>
  <si>
    <t>SUB-OFICIAL</t>
  </si>
  <si>
    <t>REYES GAMBA JOSE RICARDO</t>
  </si>
  <si>
    <t>SECRETARIO DE SEGURIDAD CIUDADANA</t>
  </si>
  <si>
    <t>CHAVEZ HERNANDEZ ROSALBA</t>
  </si>
  <si>
    <t>POLICIA 1°</t>
  </si>
  <si>
    <t>LARA ALCAZAR HECTOR ALONSO</t>
  </si>
  <si>
    <t>ARVIZU GONZALEZ VICENTE</t>
  </si>
  <si>
    <t>POLICIA 2°</t>
  </si>
  <si>
    <t>FLORES MATA SERGIO</t>
  </si>
  <si>
    <t>JARAMILLO VEGA JUAN JOSÉ</t>
  </si>
  <si>
    <t>MATA MATA JAIRO</t>
  </si>
  <si>
    <t>MONZON ARREDONDO JUAN JAIME</t>
  </si>
  <si>
    <t>RIVERA VALAY KAREN RUBI</t>
  </si>
  <si>
    <t>VARGAS CHAVERO JANETH MONTSERRAT</t>
  </si>
  <si>
    <t>AGUILAR ESPINO J. MATILDE</t>
  </si>
  <si>
    <t>POLICIA 3°</t>
  </si>
  <si>
    <t>BECERRA CRUZ ARELY</t>
  </si>
  <si>
    <t>CABRERA CABRERA ARACELI</t>
  </si>
  <si>
    <t>CHAVERO RIGOBERTO</t>
  </si>
  <si>
    <t xml:space="preserve">FLORES HERNANDEZ ROSA LUZ </t>
  </si>
  <si>
    <t xml:space="preserve">FRIAS SANCHEZ BRENDA VIRIDIANA </t>
  </si>
  <si>
    <t>GÓMEZ RIVERA SANDRA MARGARITA</t>
  </si>
  <si>
    <t>GONZALEZ ARVIZU ALMA GABRIELA</t>
  </si>
  <si>
    <t>GONZALEZ PEREZ HUMBERTO</t>
  </si>
  <si>
    <t>GUERRERO CRUZ VICTOR ATONIO</t>
  </si>
  <si>
    <t>GUERRERO SILVA KARINA DEL CARMEN</t>
  </si>
  <si>
    <t>HERNANDEZ FAJARDO ANTONIO</t>
  </si>
  <si>
    <t>HERNANDEZ TORRES ESTELA JACQUELINNE</t>
  </si>
  <si>
    <t>JIMÉNEZ GARCÍA CARLOS ANTONIO</t>
  </si>
  <si>
    <t>LEDESMA CARDENAS ESPIRIDION</t>
  </si>
  <si>
    <t>MANCILLA HUERTA JUAN PABLO</t>
  </si>
  <si>
    <t>MENDIETA ZUÑIGA MARCO ANTONIO</t>
  </si>
  <si>
    <t>MORIN RAMÍREZ JUAN MARTIN</t>
  </si>
  <si>
    <t>QUEVEDO SALINAS JOSÉ RODRIGO</t>
  </si>
  <si>
    <t>RAMIREZ MARTINEZ JOSE LUIS</t>
  </si>
  <si>
    <t>RAMIREZ PACHECO MARIA CRUZ</t>
  </si>
  <si>
    <t>SUAREZ CHAVEZ DIANA LAURA</t>
  </si>
  <si>
    <t>SUAREZ RAMIREZ OSCAR</t>
  </si>
  <si>
    <t>SUAREZ TORRES JOSE MANUEL</t>
  </si>
  <si>
    <t>TORRES CONTRERAS MARTHA LILIA</t>
  </si>
  <si>
    <t>URIAS LOPEZ NOE</t>
  </si>
  <si>
    <t>ALMANZA HERNANDEZ GUADALUPE</t>
  </si>
  <si>
    <t>POLICIA</t>
  </si>
  <si>
    <t>ALONSO GILOTE MIGUEL ANGEL</t>
  </si>
  <si>
    <t>ALVARADO CHIQUITO ANA LILIA</t>
  </si>
  <si>
    <t>ARELLANO SOLIS MARIO ALBERTO</t>
  </si>
  <si>
    <t>ARREDONDO MARIA DEL REFUGIO</t>
  </si>
  <si>
    <t>ARREDONDO VILLANUEVA DIANA ELIZABETH</t>
  </si>
  <si>
    <t>BARBOSA PADIERNA MARIA CECILIA</t>
  </si>
  <si>
    <t>BARCENAS CALZADA GABRIEL</t>
  </si>
  <si>
    <t>CABALLERO ENRIQUEZ CLAUDIA IVETTE</t>
  </si>
  <si>
    <t>CAMACHO MOYA JUAN AGUSTIN</t>
  </si>
  <si>
    <t>CASTILLO GONZALEZ ALEJANDRA</t>
  </si>
  <si>
    <t>COPADO GARCÍA RAFAEL</t>
  </si>
  <si>
    <t>CORONA HERNANDEZ MARIA DEL CARMEN</t>
  </si>
  <si>
    <t>DE JESUS CRUZ GUADALUPE ALBERTO</t>
  </si>
  <si>
    <t>DUCOING VAZQUEZ ALEJANDRO</t>
  </si>
  <si>
    <t>DURAN CHAVEZ MARIA FERNANDA</t>
  </si>
  <si>
    <t>ESCANDON MARTINEZ ARTURO JAIR</t>
  </si>
  <si>
    <t>ESCANDON MARTINEZ JONATAN EMMANUEL</t>
  </si>
  <si>
    <t>ESPINO ORDUÑA BLANCA</t>
  </si>
  <si>
    <t>ESPINOLA REYES JORGE ELIAS</t>
  </si>
  <si>
    <t>FELIX VELAZQUEZ PRIMITIVO</t>
  </si>
  <si>
    <t>FLORES ROSALES RODRIGO</t>
  </si>
  <si>
    <t>FONSECA PAZ PATRICIA</t>
  </si>
  <si>
    <t xml:space="preserve">POLICIA </t>
  </si>
  <si>
    <t>GANTES RINCON JOSE MIGUEL</t>
  </si>
  <si>
    <t>GONZALEZ ARVIZU OMAR EDUARDO</t>
  </si>
  <si>
    <t>GONZALEZ ORTIZ NAYELI ESTEFANIA</t>
  </si>
  <si>
    <t>GONZALEZ PEÑA MIGUEL ANGEL</t>
  </si>
  <si>
    <t>GUERRERO RODRIGUEZ YARA VANESSA</t>
  </si>
  <si>
    <t>GUERRERO SILVA JUAN PAULO</t>
  </si>
  <si>
    <t>GUTIERREZ PADRON MA BARBARA</t>
  </si>
  <si>
    <t>GUTIERREZ VEGA JESUS BULMARO</t>
  </si>
  <si>
    <t>HERNANDEZ MARTINEZ JUAN</t>
  </si>
  <si>
    <t xml:space="preserve">JIMENEZ SANCHEZ MAIRA YANETH </t>
  </si>
  <si>
    <t>JUAREZ ALVAREZ DAVID</t>
  </si>
  <si>
    <t>LARA NIETO MARIA GUADALUPE</t>
  </si>
  <si>
    <t>LARA PEREZ DULCE SAGRARIO</t>
  </si>
  <si>
    <t>LEDESMA MORALES VERONICA ELIZABETH</t>
  </si>
  <si>
    <t>MARTINEZ CARDENAS MANUEL</t>
  </si>
  <si>
    <t>MARTÍNEZ SILVA JOSÉ GUADALUPE</t>
  </si>
  <si>
    <t>MENDEZ GOMEZ JOSE ISIDRO</t>
  </si>
  <si>
    <t>MORALES FLORES MIRIAM VIRIDIANA</t>
  </si>
  <si>
    <t>MORENO IBAÑEZ BLANCA NEREIDA</t>
  </si>
  <si>
    <t>OLVERA ALCAZAR DANIEL</t>
  </si>
  <si>
    <t>OROCIO ARREDONDO TOMAS DAVID</t>
  </si>
  <si>
    <t>PEREZ MENDEZ ABRAHAM</t>
  </si>
  <si>
    <t>PEREZ MENDEZ ROSA DE LIMA</t>
  </si>
  <si>
    <t>PÉREZ SALAZAR ADRIANA MONTZERRAT</t>
  </si>
  <si>
    <t>PRADO MORENO MARICELA</t>
  </si>
  <si>
    <t>PUCHETA PALAGOT OMAR</t>
  </si>
  <si>
    <t>QUEVEDO HERNANDEZ OMAR IVAN</t>
  </si>
  <si>
    <t>RAMÍREZ RIVERA TOMAS</t>
  </si>
  <si>
    <t>RAMÍREZ RIVERA VICTOR</t>
  </si>
  <si>
    <t>RAMÍREZ SANCHEZ JUAN ERNESTO</t>
  </si>
  <si>
    <t>RIVERA SUAREZ MARIA DEL ROSARIO</t>
  </si>
  <si>
    <t>ROJAS CORONILLA CESAR ALONSO</t>
  </si>
  <si>
    <t>SALAZAR NUÑEZ JULIA IRENE</t>
  </si>
  <si>
    <t>SANCHEZ MANCILLA SANJUANA NAYELY</t>
  </si>
  <si>
    <t xml:space="preserve">SANCHEZ RAMIREZ MARIA CONCEPCION </t>
  </si>
  <si>
    <t>SANCHEZ SANCHEZ GUADALUPE</t>
  </si>
  <si>
    <t>SUAREZ RAMIREZ BERNARDO</t>
  </si>
  <si>
    <t xml:space="preserve">TERAN ELICEA JOSE EZEQUIEL </t>
  </si>
  <si>
    <t>TORRES CASTILLO DAVID ALEJANDRO</t>
  </si>
  <si>
    <t>TORRES CORONA DAVID</t>
  </si>
  <si>
    <t xml:space="preserve">VARGAS TORRES LUIS ALBERTO </t>
  </si>
  <si>
    <t>VEGA BALTIERRA LUIS ALEJANDRO</t>
  </si>
  <si>
    <t xml:space="preserve">JIMENEZ SANCHEZ ELIZABETH </t>
  </si>
  <si>
    <t>CAPTURISTA IPH</t>
  </si>
  <si>
    <t>ORTIZ PONS BRICIO ISAI</t>
  </si>
  <si>
    <t>TELEFONISTA</t>
  </si>
  <si>
    <t>RAMIREZ JUAREZ CINTHYA VALERIA</t>
  </si>
  <si>
    <t>TOTAL DIRECCIÓN DE SEGURIDAD PUBLICA</t>
  </si>
  <si>
    <t>DIRECCIÓN  DE TRANSITO, VIALIDAD Y AUTOTRANSPORTE</t>
  </si>
  <si>
    <t>HERNANDEZ CRUZ LUIS RAMON</t>
  </si>
  <si>
    <t>DIRECTOR DE TRANSITO MUNICIPAL</t>
  </si>
  <si>
    <t>ORTEGA GALVAN GUSTAVO ALEJANDRO</t>
  </si>
  <si>
    <t>SUB-DIRECTOR DE TRANSITO</t>
  </si>
  <si>
    <t>LOPEZ MANCILLA JUAN ANTONIO</t>
  </si>
  <si>
    <t>COMANDANTE</t>
  </si>
  <si>
    <t>LEON RODRIGUEZ GUSTAVO</t>
  </si>
  <si>
    <t>HERNANDEZ CRUZ SALVADOR</t>
  </si>
  <si>
    <t>GONZALEZ GARCÍA ALMA DELIA</t>
  </si>
  <si>
    <t>ENCARGADO DE TRANSPORTE</t>
  </si>
  <si>
    <t>VEGA BALTIERRA JUANA MARIEL</t>
  </si>
  <si>
    <t>AUXILIAR DE EDUCACION VIAL</t>
  </si>
  <si>
    <t>MATA GAMBOA NOEMI</t>
  </si>
  <si>
    <t>ESTRELLA VILLANUEVA JUANA</t>
  </si>
  <si>
    <t>AGENTE DE TRANSITO</t>
  </si>
  <si>
    <t>GONZALEZ GARCÍA LORENA PATRICIA</t>
  </si>
  <si>
    <t>PADRON PADRON VIRGINIA ESPERANZA</t>
  </si>
  <si>
    <t>PEREZ DIAZ GABINO</t>
  </si>
  <si>
    <t>PEREZ GARCÍA GABRIEL</t>
  </si>
  <si>
    <t>HERNANDEZ MORALES ALEJANDRO DANIEL</t>
  </si>
  <si>
    <t>RIVERA GALVAN DOLORES</t>
  </si>
  <si>
    <t>NUÑEZ LARA JOSÉ</t>
  </si>
  <si>
    <t>SECRETARIO TECNICO DEL CONSEJO DE HONOR Y JUSTICIA</t>
  </si>
  <si>
    <t>ALCAZAR PEREZ ERIKA FABIOLA</t>
  </si>
  <si>
    <t>ARVIZU ALCANTAR LUIS</t>
  </si>
  <si>
    <t>BERTADILLO CERVANTES SABAS SADRAC</t>
  </si>
  <si>
    <t>CHAVERO RODOLFO WILLIAN</t>
  </si>
  <si>
    <t>HERNANDEZ RIVERA MIGUEL ANGEL</t>
  </si>
  <si>
    <t>JUÁREZ BACILIO MARICELA</t>
  </si>
  <si>
    <t xml:space="preserve">MOYA MARTINEZ ELSA CRISTINA                           </t>
  </si>
  <si>
    <t>RAMIREZ ALVARADO JOSE DAVID</t>
  </si>
  <si>
    <t>RAMÍREZ RAMÍREZ GETZABEL</t>
  </si>
  <si>
    <t>SANCHEZ GALVAN FRANCISCO JAVIER</t>
  </si>
  <si>
    <t>VARGAS LUNA EDGAR DIEGO</t>
  </si>
  <si>
    <t>VAZQUEZ GONZALEZ MISAEL</t>
  </si>
  <si>
    <t>VAZQUEZ PADRON MARIA DE LA LUZ</t>
  </si>
  <si>
    <t>VELAZQUEZ GUERRERO JOSÉ LUIS</t>
  </si>
  <si>
    <t>CUADRAS MORALES IRENE MICAELA</t>
  </si>
  <si>
    <t>HERNANDEZ GRANADOS JUAN DE DIOS</t>
  </si>
  <si>
    <t>ALCAZAR FLORES JUAN MANUEL</t>
  </si>
  <si>
    <t>AGENTE DE TRANSITO B</t>
  </si>
  <si>
    <t>FRIAS ESTRELLA ALONDRA ESTHER</t>
  </si>
  <si>
    <t>SERVIN RAMÍREZ JAVIER</t>
  </si>
  <si>
    <t>VIGILANTE DE VIALIDAD O DE TRANSITO MUNICIPAL</t>
  </si>
  <si>
    <t>MATEHUALA ITURBERO MARTHA EUGENIA</t>
  </si>
  <si>
    <t>FRIAS VILLANUEVA JUAN MANUEL</t>
  </si>
  <si>
    <t xml:space="preserve">SUPERVISOR DE AUTOTRANSPORTE </t>
  </si>
  <si>
    <t>CELAYA ITURBERO JULIO CESAR</t>
  </si>
  <si>
    <t>AREVALO VAZQUEZ BEATRIZ ADRIANA</t>
  </si>
  <si>
    <t>TOTAL DIRECCIÓN  DE TRANSITO, VIALIDAD Y AUTOTRANSPORTE</t>
  </si>
  <si>
    <t>DIRECCIÓN DE PROTECCION CIVIL</t>
  </si>
  <si>
    <t>QUIJADA CRUZ GLORIA MARIA</t>
  </si>
  <si>
    <t>AUXILIAR ADMINISTRATIVO DE PROTECCION CIVIL</t>
  </si>
  <si>
    <t>COORDINADOR DEL AREA DE LOGISTICA Y CAPACITACIÓN</t>
  </si>
  <si>
    <t>OLVERA MENDIETA GERMAIN</t>
  </si>
  <si>
    <t>DIRECTOR DE PROTECCION CIVIL</t>
  </si>
  <si>
    <t xml:space="preserve">JIMENEZ SANCHEZ GUADALUPE                                                           </t>
  </si>
  <si>
    <t>INSPECTOR EN PROTECCIÓN CIVIL A</t>
  </si>
  <si>
    <t>CORTES MARTINEZ FRANCISCO JAVIER</t>
  </si>
  <si>
    <t>INSPECTOR EN PROTECCIÓN CIVIL B</t>
  </si>
  <si>
    <t>ROMERO RUIZ SARA EDITH</t>
  </si>
  <si>
    <t>INSPECTOR EN PROTECCIÓN CIVIL C</t>
  </si>
  <si>
    <t>AYALA FIERRO OSWALDO RAFAEL</t>
  </si>
  <si>
    <t>OPERATIVO</t>
  </si>
  <si>
    <t>HERNANDEZ AYALA ABELARDO ANTONIO</t>
  </si>
  <si>
    <t xml:space="preserve">HERNANDEZ DIAZ JOSE ARMANDO </t>
  </si>
  <si>
    <t>MARTINEZ CASTILLO HILARIA MIROSLAVA</t>
  </si>
  <si>
    <t>LOPEZ CABALLERO CESAR FRANCISCO</t>
  </si>
  <si>
    <t>MATA IBARRA JOSE ALFONSO</t>
  </si>
  <si>
    <t>MONTERO RANGEL CESAR AUGUSTO</t>
  </si>
  <si>
    <t>PANTOJA CABRERA GUADALUPE IDALIA</t>
  </si>
  <si>
    <t>ROMERO RAMÍREZ ALEJANDRO BERNARDO</t>
  </si>
  <si>
    <t>VALTIERRA MORALES OSCAR EDUARDO</t>
  </si>
  <si>
    <t>TOTAL DIRECCIÓN DE PROTECCION CIVIL</t>
  </si>
  <si>
    <t>DIRECCIÓN DE DEPORTES</t>
  </si>
  <si>
    <t>VALLEJO PERALES PAULO</t>
  </si>
  <si>
    <t>DIRECTOR DE DEPORTES</t>
  </si>
  <si>
    <t>PADRON TORRES MARIA SANTOS</t>
  </si>
  <si>
    <t>PROMOTOR DEPORTIVO A</t>
  </si>
  <si>
    <t>TERÁN URIBE JOSÉ CONCEPCIÓN</t>
  </si>
  <si>
    <t>COORDINADOR DE CAPACITADORES</t>
  </si>
  <si>
    <t>CASTILLO ALVARADO SAMANTHA</t>
  </si>
  <si>
    <t>AUXILIAR ADMINISTRATIVO C</t>
  </si>
  <si>
    <t>MONROY RIOS ADOLFO MATIAS</t>
  </si>
  <si>
    <t>AUXILIAR DE DEPORTES A</t>
  </si>
  <si>
    <t>RUIZ BARCENAS LUIS ARMANDO</t>
  </si>
  <si>
    <t>CAPACITADOR</t>
  </si>
  <si>
    <t>DURAN HERNANDEZ MARIO</t>
  </si>
  <si>
    <t>IBAÑEZ JUAREZ KARINA ELIZABETH</t>
  </si>
  <si>
    <t>PROMOTOR DEPORTIVO B</t>
  </si>
  <si>
    <t>TOTAL DIRECCIÓN DE DEPORTES</t>
  </si>
  <si>
    <t>DIRECCIÓN DE PROTECCION AL AMBIENTE</t>
  </si>
  <si>
    <t>MARTINEZ LARA CARMELO</t>
  </si>
  <si>
    <t>DIR. DE PROTECCION AL AMBIENTE</t>
  </si>
  <si>
    <t>ALDAPE ARREDONDO ALEJANDRO</t>
  </si>
  <si>
    <t>INSPECTOR AMBIENTAL B</t>
  </si>
  <si>
    <t>MARTINEZ SANCHEZ LARISSA JULIETA</t>
  </si>
  <si>
    <t>AUXILIAR DE INSPECCIÓN AMBIENTAL</t>
  </si>
  <si>
    <t>MERCADO PEREZ MARTIN GUADALUPE</t>
  </si>
  <si>
    <t>INSPECTOR AMBIENTAL A</t>
  </si>
  <si>
    <t>RAMIREZ GARCIA J. VALENTIN</t>
  </si>
  <si>
    <t xml:space="preserve">ORTIZ GARCIA SERGIO ALEJANDRO </t>
  </si>
  <si>
    <t>INSPECTOR AMBIENTAL C</t>
  </si>
  <si>
    <t>HERNANDEZ PADRON JUAN ANTONIO</t>
  </si>
  <si>
    <t>OPERADOR DE VIVERO</t>
  </si>
  <si>
    <t>BRIONES MEDELLIN THELMA MICHELLE</t>
  </si>
  <si>
    <t>TOTAL DIRECCIÓN DE PROTECCION AL AMBIENTE</t>
  </si>
  <si>
    <t xml:space="preserve">TOTAL CONFIANZA </t>
  </si>
  <si>
    <t xml:space="preserve">TOTAL BASE </t>
  </si>
  <si>
    <t>TOTAL BASE  CONFIANZA</t>
  </si>
  <si>
    <t>sin devengados</t>
  </si>
  <si>
    <t>TOTAL ANUAL</t>
  </si>
  <si>
    <t>vacantes</t>
  </si>
  <si>
    <t>Piantilla inicial</t>
  </si>
  <si>
    <t>1ra. Modificacion</t>
  </si>
  <si>
    <t>2da Modificacion</t>
  </si>
  <si>
    <t>incremento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</si>
</sst>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%"/>
    <numFmt numFmtId="165" formatCode="_-[$$-80A]* #,##0.00_-;\-[$$-80A]* #,##0.00_-;_-[$$-80A]* &quot;-&quot;??_-;_-@_-"/>
    <numFmt numFmtId="166" formatCode="_-&quot;$&quot;* #,##0.00_-;\-&quot;$&quot;* #,##0.00_-;_-&quot;$&quot;* &quot;-&quot;??_-;_-@"/>
    <numFmt numFmtId="167" formatCode="dd/mm/yyyy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2" tint="-0.89999084444715716"/>
      <name val="Calibri"/>
      <family val="2"/>
      <scheme val="minor"/>
    </font>
    <font>
      <sz val="18"/>
      <color theme="2" tint="-0.89999084444715716"/>
      <name val="Calibri"/>
      <family val="2"/>
      <scheme val="minor"/>
    </font>
    <font>
      <b/>
      <sz val="8"/>
      <color theme="3" tint="-0.249977111117893"/>
      <name val="Calibri"/>
      <family val="2"/>
      <scheme val="minor"/>
    </font>
    <font>
      <sz val="8"/>
      <color theme="3" tint="-0.249977111117893"/>
      <name val="Calibri"/>
      <family val="2"/>
      <scheme val="minor"/>
    </font>
    <font>
      <b/>
      <sz val="8"/>
      <color theme="9" tint="0.79998168889431442"/>
      <name val="Calibri"/>
      <family val="2"/>
      <scheme val="minor"/>
    </font>
    <font>
      <sz val="8"/>
      <color theme="9" tint="0.79998168889431442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8"/>
      <color theme="3" tint="-0.249977111117893"/>
      <name val="Calibri"/>
      <family val="2"/>
      <scheme val="minor"/>
    </font>
    <font>
      <i/>
      <sz val="8"/>
      <color theme="9" tint="0.79998168889431442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0" tint="-4.9989318521683403E-2"/>
      <name val="Calibri"/>
      <family val="2"/>
      <scheme val="minor"/>
    </font>
    <font>
      <b/>
      <sz val="8"/>
      <color theme="0" tint="-4.9989318521683403E-2"/>
      <name val="Calibri"/>
      <family val="2"/>
      <scheme val="minor"/>
    </font>
    <font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1" fillId="4" borderId="1" applyNumberFormat="0" applyFont="0" applyAlignment="0" applyProtection="0"/>
    <xf numFmtId="0" fontId="4" fillId="5" borderId="0" applyNumberFormat="0" applyBorder="0" applyAlignment="0" applyProtection="0"/>
    <xf numFmtId="0" fontId="18" fillId="0" borderId="0"/>
  </cellStyleXfs>
  <cellXfs count="511">
    <xf numFmtId="0" fontId="0" fillId="0" borderId="0" xfId="0"/>
    <xf numFmtId="0" fontId="5" fillId="0" borderId="0" xfId="0" applyFont="1" applyAlignment="1">
      <alignment horizontal="justify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6" borderId="3" xfId="5" applyFont="1" applyFill="1" applyBorder="1" applyAlignment="1">
      <alignment horizontal="center"/>
    </xf>
    <xf numFmtId="43" fontId="7" fillId="6" borderId="5" xfId="5" applyNumberFormat="1" applyFont="1" applyFill="1" applyBorder="1" applyAlignment="1">
      <alignment horizontal="center"/>
    </xf>
    <xf numFmtId="0" fontId="7" fillId="6" borderId="7" xfId="0" applyFont="1" applyFill="1" applyBorder="1" applyAlignment="1">
      <alignment horizontal="center"/>
    </xf>
    <xf numFmtId="44" fontId="7" fillId="6" borderId="6" xfId="1" applyFont="1" applyFill="1" applyBorder="1" applyAlignment="1">
      <alignment horizontal="center" wrapText="1"/>
    </xf>
    <xf numFmtId="10" fontId="7" fillId="6" borderId="6" xfId="5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 wrapText="1"/>
    </xf>
    <xf numFmtId="0" fontId="7" fillId="6" borderId="6" xfId="5" applyFont="1" applyFill="1" applyBorder="1" applyAlignment="1">
      <alignment horizontal="center" wrapText="1"/>
    </xf>
    <xf numFmtId="0" fontId="7" fillId="6" borderId="6" xfId="5" applyFont="1" applyFill="1" applyBorder="1" applyAlignment="1">
      <alignment horizontal="center"/>
    </xf>
    <xf numFmtId="0" fontId="7" fillId="6" borderId="8" xfId="5" applyFont="1" applyFill="1" applyBorder="1" applyAlignment="1">
      <alignment horizontal="center"/>
    </xf>
    <xf numFmtId="44" fontId="7" fillId="6" borderId="6" xfId="1" applyFont="1" applyFill="1" applyBorder="1" applyAlignment="1">
      <alignment horizontal="center"/>
    </xf>
    <xf numFmtId="0" fontId="8" fillId="6" borderId="6" xfId="5" applyFont="1" applyFill="1" applyBorder="1" applyAlignment="1">
      <alignment horizontal="center"/>
    </xf>
    <xf numFmtId="0" fontId="7" fillId="6" borderId="8" xfId="5" applyFont="1" applyFill="1" applyBorder="1" applyAlignment="1">
      <alignment horizontal="center" wrapText="1"/>
    </xf>
    <xf numFmtId="164" fontId="7" fillId="6" borderId="6" xfId="5" applyNumberFormat="1" applyFont="1" applyFill="1" applyBorder="1" applyAlignment="1">
      <alignment horizontal="center"/>
    </xf>
    <xf numFmtId="44" fontId="7" fillId="6" borderId="9" xfId="1" applyFont="1" applyFill="1" applyBorder="1" applyAlignment="1">
      <alignment horizontal="center"/>
    </xf>
    <xf numFmtId="0" fontId="7" fillId="6" borderId="5" xfId="5" applyFont="1" applyFill="1" applyBorder="1" applyAlignment="1">
      <alignment horizontal="center" wrapText="1"/>
    </xf>
    <xf numFmtId="0" fontId="9" fillId="0" borderId="0" xfId="5" applyFont="1" applyFill="1" applyBorder="1" applyAlignment="1">
      <alignment horizontal="center" wrapText="1"/>
    </xf>
    <xf numFmtId="44" fontId="7" fillId="6" borderId="6" xfId="5" applyNumberFormat="1" applyFont="1" applyFill="1" applyBorder="1" applyAlignment="1">
      <alignment horizontal="center"/>
    </xf>
    <xf numFmtId="44" fontId="7" fillId="6" borderId="8" xfId="5" applyNumberFormat="1" applyFont="1" applyFill="1" applyBorder="1" applyAlignment="1">
      <alignment horizontal="center"/>
    </xf>
    <xf numFmtId="44" fontId="7" fillId="6" borderId="6" xfId="5" applyNumberFormat="1" applyFont="1" applyFill="1" applyBorder="1" applyAlignment="1">
      <alignment horizontal="center" wrapText="1"/>
    </xf>
    <xf numFmtId="44" fontId="7" fillId="6" borderId="8" xfId="5" applyNumberFormat="1" applyFont="1" applyFill="1" applyBorder="1" applyAlignment="1">
      <alignment horizontal="center" wrapText="1"/>
    </xf>
    <xf numFmtId="44" fontId="9" fillId="0" borderId="0" xfId="1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/>
    </xf>
    <xf numFmtId="44" fontId="7" fillId="0" borderId="0" xfId="1" applyFont="1" applyFill="1" applyBorder="1" applyAlignment="1">
      <alignment horizontal="center" wrapText="1"/>
    </xf>
    <xf numFmtId="0" fontId="7" fillId="6" borderId="0" xfId="0" applyFont="1" applyFill="1" applyAlignment="1">
      <alignment horizontal="center"/>
    </xf>
    <xf numFmtId="0" fontId="7" fillId="6" borderId="10" xfId="5" applyFont="1" applyFill="1" applyBorder="1" applyAlignment="1">
      <alignment horizontal="center"/>
    </xf>
    <xf numFmtId="0" fontId="7" fillId="6" borderId="10" xfId="0" applyFont="1" applyFill="1" applyBorder="1" applyAlignment="1">
      <alignment horizontal="center"/>
    </xf>
    <xf numFmtId="0" fontId="7" fillId="6" borderId="10" xfId="5" applyFont="1" applyFill="1" applyBorder="1" applyAlignment="1">
      <alignment horizontal="center" wrapText="1"/>
    </xf>
    <xf numFmtId="43" fontId="7" fillId="6" borderId="12" xfId="5" applyNumberFormat="1" applyFont="1" applyFill="1" applyBorder="1" applyAlignment="1">
      <alignment horizontal="center"/>
    </xf>
    <xf numFmtId="14" fontId="7" fillId="6" borderId="13" xfId="5" applyNumberFormat="1" applyFont="1" applyFill="1" applyBorder="1" applyAlignment="1">
      <alignment horizontal="center"/>
    </xf>
    <xf numFmtId="0" fontId="7" fillId="6" borderId="11" xfId="1" applyNumberFormat="1" applyFont="1" applyFill="1" applyBorder="1" applyAlignment="1">
      <alignment horizontal="center"/>
    </xf>
    <xf numFmtId="10" fontId="7" fillId="6" borderId="11" xfId="5" applyNumberFormat="1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 wrapText="1"/>
    </xf>
    <xf numFmtId="0" fontId="7" fillId="6" borderId="11" xfId="5" applyNumberFormat="1" applyFont="1" applyFill="1" applyBorder="1" applyAlignment="1">
      <alignment horizontal="center"/>
    </xf>
    <xf numFmtId="44" fontId="7" fillId="6" borderId="11" xfId="5" applyNumberFormat="1" applyFont="1" applyFill="1" applyBorder="1" applyAlignment="1">
      <alignment horizontal="center" wrapText="1"/>
    </xf>
    <xf numFmtId="44" fontId="7" fillId="6" borderId="11" xfId="5" applyNumberFormat="1" applyFont="1" applyFill="1" applyBorder="1" applyAlignment="1">
      <alignment horizontal="center"/>
    </xf>
    <xf numFmtId="44" fontId="7" fillId="6" borderId="14" xfId="5" applyNumberFormat="1" applyFont="1" applyFill="1" applyBorder="1" applyAlignment="1">
      <alignment horizontal="center"/>
    </xf>
    <xf numFmtId="44" fontId="7" fillId="6" borderId="11" xfId="1" applyFont="1" applyFill="1" applyBorder="1" applyAlignment="1">
      <alignment horizontal="center"/>
    </xf>
    <xf numFmtId="44" fontId="8" fillId="6" borderId="11" xfId="5" applyNumberFormat="1" applyFont="1" applyFill="1" applyBorder="1" applyAlignment="1">
      <alignment horizontal="center"/>
    </xf>
    <xf numFmtId="164" fontId="7" fillId="6" borderId="11" xfId="5" applyNumberFormat="1" applyFont="1" applyFill="1" applyBorder="1" applyAlignment="1">
      <alignment horizontal="center"/>
    </xf>
    <xf numFmtId="44" fontId="7" fillId="6" borderId="15" xfId="1" applyFont="1" applyFill="1" applyBorder="1" applyAlignment="1">
      <alignment horizontal="center"/>
    </xf>
    <xf numFmtId="44" fontId="7" fillId="6" borderId="12" xfId="5" applyNumberFormat="1" applyFont="1" applyFill="1" applyBorder="1" applyAlignment="1">
      <alignment horizontal="center"/>
    </xf>
    <xf numFmtId="44" fontId="9" fillId="0" borderId="0" xfId="5" applyNumberFormat="1" applyFont="1" applyFill="1" applyBorder="1" applyAlignment="1">
      <alignment horizontal="center"/>
    </xf>
    <xf numFmtId="0" fontId="7" fillId="6" borderId="14" xfId="5" applyFont="1" applyFill="1" applyBorder="1" applyAlignment="1">
      <alignment horizontal="center"/>
    </xf>
    <xf numFmtId="0" fontId="7" fillId="6" borderId="11" xfId="5" applyFont="1" applyFill="1" applyBorder="1" applyAlignment="1">
      <alignment horizontal="center"/>
    </xf>
    <xf numFmtId="0" fontId="8" fillId="0" borderId="0" xfId="0" applyFont="1" applyAlignment="1">
      <alignment horizontal="justify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justify"/>
    </xf>
    <xf numFmtId="0" fontId="8" fillId="0" borderId="16" xfId="0" applyFont="1" applyBorder="1" applyAlignment="1">
      <alignment horizontal="justify" wrapText="1"/>
    </xf>
    <xf numFmtId="0" fontId="8" fillId="0" borderId="16" xfId="6" applyFont="1" applyFill="1" applyBorder="1" applyAlignment="1">
      <alignment horizontal="justify" wrapText="1"/>
    </xf>
    <xf numFmtId="14" fontId="8" fillId="0" borderId="18" xfId="1" applyNumberFormat="1" applyFont="1" applyFill="1" applyBorder="1" applyAlignment="1">
      <alignment horizontal="center"/>
    </xf>
    <xf numFmtId="14" fontId="8" fillId="0" borderId="16" xfId="1" applyNumberFormat="1" applyFont="1" applyFill="1" applyBorder="1" applyAlignment="1">
      <alignment horizontal="center"/>
    </xf>
    <xf numFmtId="44" fontId="7" fillId="0" borderId="18" xfId="1" applyFont="1" applyFill="1" applyBorder="1" applyAlignment="1">
      <alignment horizontal="justify"/>
    </xf>
    <xf numFmtId="44" fontId="7" fillId="0" borderId="16" xfId="1" applyFont="1" applyFill="1" applyBorder="1" applyAlignment="1">
      <alignment horizontal="justify"/>
    </xf>
    <xf numFmtId="44" fontId="7" fillId="0" borderId="16" xfId="1" applyFont="1" applyFill="1" applyBorder="1" applyAlignment="1">
      <alignment horizontal="center"/>
    </xf>
    <xf numFmtId="10" fontId="8" fillId="0" borderId="16" xfId="1" applyNumberFormat="1" applyFont="1" applyFill="1" applyBorder="1" applyAlignment="1">
      <alignment horizontal="center"/>
    </xf>
    <xf numFmtId="44" fontId="8" fillId="0" borderId="16" xfId="1" applyFont="1" applyFill="1" applyBorder="1" applyAlignment="1">
      <alignment horizontal="justify"/>
    </xf>
    <xf numFmtId="164" fontId="8" fillId="0" borderId="16" xfId="1" applyNumberFormat="1" applyFont="1" applyFill="1" applyBorder="1" applyAlignment="1">
      <alignment horizontal="center"/>
    </xf>
    <xf numFmtId="165" fontId="8" fillId="0" borderId="16" xfId="1" applyNumberFormat="1" applyFont="1" applyFill="1" applyBorder="1" applyAlignment="1">
      <alignment horizontal="justify"/>
    </xf>
    <xf numFmtId="44" fontId="10" fillId="0" borderId="0" xfId="1" applyFont="1" applyFill="1" applyBorder="1" applyAlignment="1">
      <alignment horizontal="justify"/>
    </xf>
    <xf numFmtId="44" fontId="8" fillId="0" borderId="16" xfId="0" applyNumberFormat="1" applyFont="1" applyBorder="1" applyAlignment="1">
      <alignment horizontal="center"/>
    </xf>
    <xf numFmtId="44" fontId="8" fillId="0" borderId="0" xfId="1" applyFont="1" applyFill="1" applyBorder="1" applyAlignment="1">
      <alignment horizontal="justify"/>
    </xf>
    <xf numFmtId="0" fontId="8" fillId="0" borderId="18" xfId="0" applyFont="1" applyBorder="1" applyAlignment="1">
      <alignment horizontal="center"/>
    </xf>
    <xf numFmtId="0" fontId="8" fillId="0" borderId="19" xfId="0" applyFont="1" applyBorder="1" applyAlignment="1">
      <alignment horizontal="justify" wrapText="1"/>
    </xf>
    <xf numFmtId="10" fontId="8" fillId="0" borderId="18" xfId="1" applyNumberFormat="1" applyFont="1" applyFill="1" applyBorder="1" applyAlignment="1">
      <alignment horizontal="justify" wrapText="1"/>
    </xf>
    <xf numFmtId="14" fontId="8" fillId="0" borderId="20" xfId="1" applyNumberFormat="1" applyFont="1" applyFill="1" applyBorder="1" applyAlignment="1">
      <alignment horizontal="center"/>
    </xf>
    <xf numFmtId="0" fontId="8" fillId="0" borderId="19" xfId="0" applyFont="1" applyBorder="1" applyAlignment="1">
      <alignment horizontal="justify"/>
    </xf>
    <xf numFmtId="0" fontId="8" fillId="0" borderId="18" xfId="0" applyFont="1" applyBorder="1" applyAlignment="1">
      <alignment horizontal="justify" wrapText="1"/>
    </xf>
    <xf numFmtId="0" fontId="8" fillId="0" borderId="18" xfId="0" applyFont="1" applyBorder="1" applyAlignment="1">
      <alignment horizontal="justify"/>
    </xf>
    <xf numFmtId="44" fontId="7" fillId="0" borderId="18" xfId="1" applyFont="1" applyFill="1" applyBorder="1" applyAlignment="1">
      <alignment horizontal="center"/>
    </xf>
    <xf numFmtId="44" fontId="7" fillId="0" borderId="21" xfId="1" applyFont="1" applyFill="1" applyBorder="1" applyAlignment="1">
      <alignment horizontal="justify"/>
    </xf>
    <xf numFmtId="0" fontId="7" fillId="0" borderId="18" xfId="0" applyFont="1" applyBorder="1" applyAlignment="1">
      <alignment horizontal="justify"/>
    </xf>
    <xf numFmtId="0" fontId="8" fillId="0" borderId="16" xfId="0" applyFont="1" applyBorder="1" applyAlignment="1">
      <alignment horizontal="justify"/>
    </xf>
    <xf numFmtId="0" fontId="8" fillId="0" borderId="20" xfId="0" applyFont="1" applyBorder="1" applyAlignment="1">
      <alignment horizontal="center"/>
    </xf>
    <xf numFmtId="0" fontId="8" fillId="0" borderId="18" xfId="6" applyFont="1" applyFill="1" applyBorder="1" applyAlignment="1">
      <alignment horizontal="justify" wrapText="1"/>
    </xf>
    <xf numFmtId="0" fontId="8" fillId="7" borderId="0" xfId="0" applyFont="1" applyFill="1" applyAlignment="1">
      <alignment horizontal="justify"/>
    </xf>
    <xf numFmtId="44" fontId="8" fillId="0" borderId="18" xfId="1" applyFont="1" applyFill="1" applyBorder="1" applyAlignment="1">
      <alignment horizontal="justify"/>
    </xf>
    <xf numFmtId="0" fontId="8" fillId="0" borderId="23" xfId="0" applyFont="1" applyBorder="1" applyAlignment="1">
      <alignment horizontal="justify"/>
    </xf>
    <xf numFmtId="0" fontId="8" fillId="0" borderId="24" xfId="0" applyFont="1" applyBorder="1" applyAlignment="1">
      <alignment horizontal="center"/>
    </xf>
    <xf numFmtId="0" fontId="8" fillId="0" borderId="24" xfId="0" applyFont="1" applyBorder="1" applyAlignment="1">
      <alignment horizontal="justify" wrapText="1"/>
    </xf>
    <xf numFmtId="14" fontId="8" fillId="0" borderId="25" xfId="0" applyNumberFormat="1" applyFont="1" applyBorder="1" applyAlignment="1">
      <alignment horizontal="center"/>
    </xf>
    <xf numFmtId="0" fontId="7" fillId="6" borderId="20" xfId="0" applyFont="1" applyFill="1" applyBorder="1" applyAlignment="1">
      <alignment horizontal="right"/>
    </xf>
    <xf numFmtId="0" fontId="7" fillId="6" borderId="26" xfId="0" applyFont="1" applyFill="1" applyBorder="1" applyAlignment="1">
      <alignment horizontal="right"/>
    </xf>
    <xf numFmtId="0" fontId="7" fillId="6" borderId="19" xfId="0" applyFont="1" applyFill="1" applyBorder="1" applyAlignment="1">
      <alignment horizontal="right"/>
    </xf>
    <xf numFmtId="0" fontId="7" fillId="6" borderId="18" xfId="0" applyFont="1" applyFill="1" applyBorder="1" applyAlignment="1">
      <alignment horizontal="center"/>
    </xf>
    <xf numFmtId="0" fontId="7" fillId="6" borderId="19" xfId="0" applyFont="1" applyFill="1" applyBorder="1" applyAlignment="1">
      <alignment horizontal="center"/>
    </xf>
    <xf numFmtId="44" fontId="7" fillId="6" borderId="18" xfId="1" applyFont="1" applyFill="1" applyBorder="1" applyAlignment="1">
      <alignment horizontal="justify"/>
    </xf>
    <xf numFmtId="44" fontId="9" fillId="0" borderId="0" xfId="1" applyFont="1" applyFill="1" applyBorder="1" applyAlignment="1">
      <alignment horizontal="justify"/>
    </xf>
    <xf numFmtId="44" fontId="7" fillId="6" borderId="16" xfId="0" applyNumberFormat="1" applyFont="1" applyFill="1" applyBorder="1" applyAlignment="1">
      <alignment horizontal="center"/>
    </xf>
    <xf numFmtId="0" fontId="7" fillId="0" borderId="0" xfId="0" applyFont="1" applyAlignment="1">
      <alignment horizontal="justify"/>
    </xf>
    <xf numFmtId="44" fontId="7" fillId="0" borderId="0" xfId="1" applyFont="1" applyFill="1" applyBorder="1" applyAlignment="1">
      <alignment horizontal="justify"/>
    </xf>
    <xf numFmtId="0" fontId="8" fillId="6" borderId="0" xfId="0" applyFont="1" applyFill="1" applyAlignment="1">
      <alignment horizontal="justify"/>
    </xf>
    <xf numFmtId="10" fontId="8" fillId="0" borderId="0" xfId="1" applyNumberFormat="1" applyFont="1" applyFill="1" applyBorder="1" applyAlignment="1">
      <alignment horizontal="justify" wrapText="1"/>
    </xf>
    <xf numFmtId="0" fontId="8" fillId="0" borderId="27" xfId="0" applyFont="1" applyBorder="1" applyAlignment="1">
      <alignment horizontal="justify" wrapText="1"/>
    </xf>
    <xf numFmtId="14" fontId="8" fillId="0" borderId="28" xfId="1" applyNumberFormat="1" applyFont="1" applyFill="1" applyBorder="1" applyAlignment="1">
      <alignment horizontal="center"/>
    </xf>
    <xf numFmtId="14" fontId="8" fillId="0" borderId="24" xfId="1" applyNumberFormat="1" applyFont="1" applyFill="1" applyBorder="1" applyAlignment="1">
      <alignment horizontal="center"/>
    </xf>
    <xf numFmtId="164" fontId="8" fillId="0" borderId="18" xfId="1" applyNumberFormat="1" applyFont="1" applyFill="1" applyBorder="1" applyAlignment="1">
      <alignment horizontal="center"/>
    </xf>
    <xf numFmtId="0" fontId="8" fillId="8" borderId="0" xfId="0" applyFont="1" applyFill="1" applyAlignment="1">
      <alignment horizontal="justify"/>
    </xf>
    <xf numFmtId="0" fontId="8" fillId="9" borderId="0" xfId="0" applyFont="1" applyFill="1" applyAlignment="1">
      <alignment horizontal="justify"/>
    </xf>
    <xf numFmtId="0" fontId="8" fillId="0" borderId="24" xfId="0" applyFont="1" applyBorder="1" applyAlignment="1">
      <alignment horizontal="justify"/>
    </xf>
    <xf numFmtId="14" fontId="8" fillId="0" borderId="25" xfId="1" applyNumberFormat="1" applyFont="1" applyFill="1" applyBorder="1" applyAlignment="1">
      <alignment horizontal="center"/>
    </xf>
    <xf numFmtId="10" fontId="8" fillId="0" borderId="24" xfId="1" applyNumberFormat="1" applyFont="1" applyFill="1" applyBorder="1" applyAlignment="1">
      <alignment horizontal="justify" wrapText="1"/>
    </xf>
    <xf numFmtId="14" fontId="8" fillId="0" borderId="21" xfId="1" applyNumberFormat="1" applyFont="1" applyFill="1" applyBorder="1" applyAlignment="1">
      <alignment horizontal="center"/>
    </xf>
    <xf numFmtId="44" fontId="7" fillId="0" borderId="18" xfId="2" applyNumberFormat="1" applyFont="1" applyFill="1" applyBorder="1" applyAlignment="1">
      <alignment horizontal="justify"/>
    </xf>
    <xf numFmtId="9" fontId="7" fillId="0" borderId="18" xfId="2" applyFont="1" applyFill="1" applyBorder="1" applyAlignment="1">
      <alignment horizontal="center"/>
    </xf>
    <xf numFmtId="14" fontId="8" fillId="0" borderId="20" xfId="0" applyNumberFormat="1" applyFont="1" applyBorder="1" applyAlignment="1">
      <alignment horizontal="center"/>
    </xf>
    <xf numFmtId="0" fontId="8" fillId="0" borderId="29" xfId="0" applyFont="1" applyBorder="1" applyAlignment="1">
      <alignment horizontal="justify"/>
    </xf>
    <xf numFmtId="0" fontId="8" fillId="0" borderId="18" xfId="3" applyFont="1" applyFill="1" applyBorder="1" applyAlignment="1">
      <alignment horizontal="justify" wrapText="1"/>
    </xf>
    <xf numFmtId="0" fontId="8" fillId="0" borderId="26" xfId="0" applyFont="1" applyBorder="1" applyAlignment="1">
      <alignment horizontal="justify"/>
    </xf>
    <xf numFmtId="0" fontId="8" fillId="0" borderId="19" xfId="3" applyFont="1" applyFill="1" applyBorder="1" applyAlignment="1">
      <alignment horizontal="justify" wrapText="1"/>
    </xf>
    <xf numFmtId="0" fontId="7" fillId="6" borderId="18" xfId="0" applyFont="1" applyFill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6" borderId="26" xfId="6" applyFont="1" applyFill="1" applyBorder="1" applyAlignment="1">
      <alignment horizontal="center" wrapText="1"/>
    </xf>
    <xf numFmtId="0" fontId="7" fillId="6" borderId="19" xfId="6" applyFont="1" applyFill="1" applyBorder="1" applyAlignment="1">
      <alignment horizontal="center" wrapText="1"/>
    </xf>
    <xf numFmtId="44" fontId="7" fillId="6" borderId="30" xfId="1" applyFont="1" applyFill="1" applyBorder="1" applyAlignment="1">
      <alignment horizontal="justify"/>
    </xf>
    <xf numFmtId="44" fontId="7" fillId="6" borderId="24" xfId="0" applyNumberFormat="1" applyFont="1" applyFill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18" xfId="0" applyFont="1" applyBorder="1" applyAlignment="1">
      <alignment horizontal="right"/>
    </xf>
    <xf numFmtId="14" fontId="8" fillId="0" borderId="19" xfId="1" applyNumberFormat="1" applyFont="1" applyFill="1" applyBorder="1" applyAlignment="1">
      <alignment horizontal="center"/>
    </xf>
    <xf numFmtId="44" fontId="7" fillId="0" borderId="18" xfId="0" applyNumberFormat="1" applyFont="1" applyBorder="1" applyAlignment="1">
      <alignment horizontal="center"/>
    </xf>
    <xf numFmtId="14" fontId="8" fillId="0" borderId="26" xfId="1" applyNumberFormat="1" applyFont="1" applyFill="1" applyBorder="1" applyAlignment="1">
      <alignment horizontal="center"/>
    </xf>
    <xf numFmtId="44" fontId="8" fillId="0" borderId="19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0" fontId="8" fillId="0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165" fontId="8" fillId="0" borderId="0" xfId="1" applyNumberFormat="1" applyFont="1" applyFill="1" applyBorder="1" applyAlignment="1">
      <alignment horizontal="justify"/>
    </xf>
    <xf numFmtId="44" fontId="8" fillId="0" borderId="0" xfId="0" applyNumberFormat="1" applyFont="1" applyAlignment="1">
      <alignment horizontal="center"/>
    </xf>
    <xf numFmtId="0" fontId="9" fillId="0" borderId="0" xfId="5" applyFont="1" applyFill="1" applyBorder="1" applyAlignment="1">
      <alignment horizontal="justify" wrapText="1"/>
    </xf>
    <xf numFmtId="44" fontId="7" fillId="6" borderId="5" xfId="5" applyNumberFormat="1" applyFont="1" applyFill="1" applyBorder="1" applyAlignment="1">
      <alignment horizontal="center"/>
    </xf>
    <xf numFmtId="0" fontId="7" fillId="6" borderId="0" xfId="0" applyFont="1" applyFill="1" applyAlignment="1">
      <alignment horizontal="justify"/>
    </xf>
    <xf numFmtId="44" fontId="9" fillId="0" borderId="0" xfId="5" applyNumberFormat="1" applyFont="1" applyFill="1" applyBorder="1" applyAlignment="1">
      <alignment horizontal="justify"/>
    </xf>
    <xf numFmtId="14" fontId="8" fillId="0" borderId="23" xfId="1" applyNumberFormat="1" applyFont="1" applyFill="1" applyBorder="1" applyAlignment="1">
      <alignment horizontal="center"/>
    </xf>
    <xf numFmtId="44" fontId="7" fillId="0" borderId="21" xfId="1" applyFont="1" applyFill="1" applyBorder="1" applyAlignment="1">
      <alignment horizontal="center"/>
    </xf>
    <xf numFmtId="44" fontId="8" fillId="0" borderId="17" xfId="0" applyNumberFormat="1" applyFont="1" applyBorder="1" applyAlignment="1">
      <alignment horizontal="center"/>
    </xf>
    <xf numFmtId="0" fontId="7" fillId="6" borderId="26" xfId="0" applyFont="1" applyFill="1" applyBorder="1" applyAlignment="1">
      <alignment horizontal="center"/>
    </xf>
    <xf numFmtId="44" fontId="7" fillId="6" borderId="18" xfId="1" applyFont="1" applyFill="1" applyBorder="1" applyAlignment="1">
      <alignment horizontal="center"/>
    </xf>
    <xf numFmtId="44" fontId="8" fillId="6" borderId="18" xfId="1" applyFont="1" applyFill="1" applyBorder="1" applyAlignment="1">
      <alignment horizontal="justify"/>
    </xf>
    <xf numFmtId="44" fontId="7" fillId="6" borderId="19" xfId="0" applyNumberFormat="1" applyFont="1" applyFill="1" applyBorder="1" applyAlignment="1">
      <alignment horizontal="center"/>
    </xf>
    <xf numFmtId="0" fontId="7" fillId="6" borderId="18" xfId="0" applyFont="1" applyFill="1" applyBorder="1" applyAlignment="1">
      <alignment horizontal="justify"/>
    </xf>
    <xf numFmtId="44" fontId="7" fillId="6" borderId="17" xfId="0" applyNumberFormat="1" applyFont="1" applyFill="1" applyBorder="1" applyAlignment="1">
      <alignment horizontal="center"/>
    </xf>
    <xf numFmtId="0" fontId="7" fillId="0" borderId="19" xfId="0" applyFont="1" applyBorder="1" applyAlignment="1">
      <alignment horizontal="right"/>
    </xf>
    <xf numFmtId="0" fontId="7" fillId="0" borderId="19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44" fontId="7" fillId="0" borderId="17" xfId="0" applyNumberFormat="1" applyFont="1" applyBorder="1" applyAlignment="1">
      <alignment horizontal="center"/>
    </xf>
    <xf numFmtId="44" fontId="7" fillId="0" borderId="16" xfId="0" applyNumberFormat="1" applyFont="1" applyBorder="1" applyAlignment="1">
      <alignment horizontal="center"/>
    </xf>
    <xf numFmtId="44" fontId="7" fillId="0" borderId="26" xfId="0" applyNumberFormat="1" applyFont="1" applyBorder="1" applyAlignment="1">
      <alignment horizontal="center"/>
    </xf>
    <xf numFmtId="44" fontId="7" fillId="0" borderId="19" xfId="0" applyNumberFormat="1" applyFont="1" applyBorder="1" applyAlignment="1">
      <alignment horizontal="center"/>
    </xf>
    <xf numFmtId="44" fontId="7" fillId="0" borderId="0" xfId="0" applyNumberFormat="1" applyFont="1" applyAlignment="1">
      <alignment horizontal="justify"/>
    </xf>
    <xf numFmtId="44" fontId="7" fillId="0" borderId="0" xfId="0" applyNumberFormat="1" applyFont="1" applyAlignment="1">
      <alignment horizontal="center"/>
    </xf>
    <xf numFmtId="0" fontId="7" fillId="6" borderId="19" xfId="0" applyFont="1" applyFill="1" applyBorder="1"/>
    <xf numFmtId="14" fontId="8" fillId="0" borderId="17" xfId="1" applyNumberFormat="1" applyFont="1" applyFill="1" applyBorder="1" applyAlignment="1">
      <alignment horizontal="center"/>
    </xf>
    <xf numFmtId="14" fontId="8" fillId="0" borderId="33" xfId="1" applyNumberFormat="1" applyFont="1" applyFill="1" applyBorder="1" applyAlignment="1">
      <alignment horizontal="center"/>
    </xf>
    <xf numFmtId="14" fontId="8" fillId="0" borderId="0" xfId="0" applyNumberFormat="1" applyFont="1" applyAlignment="1">
      <alignment horizontal="center"/>
    </xf>
    <xf numFmtId="165" fontId="8" fillId="0" borderId="18" xfId="1" applyNumberFormat="1" applyFont="1" applyFill="1" applyBorder="1" applyAlignment="1">
      <alignment horizontal="justify"/>
    </xf>
    <xf numFmtId="44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vertical="center" wrapText="1"/>
    </xf>
    <xf numFmtId="44" fontId="7" fillId="0" borderId="16" xfId="1" applyFont="1" applyFill="1" applyBorder="1" applyAlignment="1">
      <alignment horizontal="center" vertical="center"/>
    </xf>
    <xf numFmtId="44" fontId="7" fillId="0" borderId="18" xfId="2" applyNumberFormat="1" applyFont="1" applyFill="1" applyBorder="1" applyAlignment="1">
      <alignment horizontal="center" vertical="center"/>
    </xf>
    <xf numFmtId="9" fontId="7" fillId="0" borderId="16" xfId="2" applyFont="1" applyFill="1" applyBorder="1" applyAlignment="1">
      <alignment horizontal="center" vertical="center"/>
    </xf>
    <xf numFmtId="10" fontId="8" fillId="0" borderId="16" xfId="1" applyNumberFormat="1" applyFont="1" applyFill="1" applyBorder="1" applyAlignment="1">
      <alignment horizontal="center" vertical="center"/>
    </xf>
    <xf numFmtId="44" fontId="8" fillId="0" borderId="16" xfId="1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right"/>
    </xf>
    <xf numFmtId="44" fontId="7" fillId="0" borderId="26" xfId="1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14" fontId="8" fillId="0" borderId="18" xfId="0" applyNumberFormat="1" applyFont="1" applyBorder="1" applyAlignment="1">
      <alignment horizontal="center"/>
    </xf>
    <xf numFmtId="44" fontId="7" fillId="0" borderId="20" xfId="1" applyFont="1" applyFill="1" applyBorder="1" applyAlignment="1">
      <alignment horizontal="justify"/>
    </xf>
    <xf numFmtId="10" fontId="8" fillId="0" borderId="18" xfId="1" applyNumberFormat="1" applyFont="1" applyFill="1" applyBorder="1" applyAlignment="1">
      <alignment horizontal="center"/>
    </xf>
    <xf numFmtId="44" fontId="7" fillId="0" borderId="16" xfId="2" applyNumberFormat="1" applyFont="1" applyFill="1" applyBorder="1" applyAlignment="1">
      <alignment horizontal="justify"/>
    </xf>
    <xf numFmtId="9" fontId="7" fillId="0" borderId="16" xfId="2" applyFont="1" applyFill="1" applyBorder="1" applyAlignment="1">
      <alignment horizontal="center"/>
    </xf>
    <xf numFmtId="44" fontId="7" fillId="0" borderId="18" xfId="2" applyNumberFormat="1" applyFont="1" applyFill="1" applyBorder="1" applyAlignment="1">
      <alignment horizontal="center"/>
    </xf>
    <xf numFmtId="44" fontId="7" fillId="6" borderId="18" xfId="0" applyNumberFormat="1" applyFont="1" applyFill="1" applyBorder="1" applyAlignment="1">
      <alignment horizontal="center"/>
    </xf>
    <xf numFmtId="0" fontId="8" fillId="0" borderId="20" xfId="0" applyFont="1" applyBorder="1" applyAlignment="1">
      <alignment horizontal="justify" wrapText="1"/>
    </xf>
    <xf numFmtId="44" fontId="8" fillId="0" borderId="0" xfId="1" applyFont="1" applyFill="1" applyBorder="1" applyAlignment="1">
      <alignment horizontal="center"/>
    </xf>
    <xf numFmtId="14" fontId="8" fillId="0" borderId="19" xfId="0" applyNumberFormat="1" applyFont="1" applyBorder="1" applyAlignment="1">
      <alignment horizontal="center"/>
    </xf>
    <xf numFmtId="14" fontId="8" fillId="0" borderId="30" xfId="1" applyNumberFormat="1" applyFont="1" applyFill="1" applyBorder="1" applyAlignment="1">
      <alignment horizontal="center"/>
    </xf>
    <xf numFmtId="44" fontId="10" fillId="0" borderId="0" xfId="1" applyFont="1" applyFill="1" applyAlignment="1">
      <alignment horizontal="justify"/>
    </xf>
    <xf numFmtId="44" fontId="8" fillId="0" borderId="0" xfId="1" applyFont="1" applyFill="1" applyAlignment="1">
      <alignment horizontal="justify"/>
    </xf>
    <xf numFmtId="0" fontId="12" fillId="0" borderId="0" xfId="0" applyFont="1" applyAlignment="1">
      <alignment horizontal="justify"/>
    </xf>
    <xf numFmtId="44" fontId="13" fillId="0" borderId="0" xfId="1" applyFont="1" applyFill="1" applyBorder="1" applyAlignment="1">
      <alignment horizontal="justify"/>
    </xf>
    <xf numFmtId="44" fontId="12" fillId="0" borderId="0" xfId="1" applyFont="1" applyFill="1" applyBorder="1" applyAlignment="1">
      <alignment horizontal="justify"/>
    </xf>
    <xf numFmtId="44" fontId="14" fillId="0" borderId="16" xfId="1" applyFont="1" applyFill="1" applyBorder="1" applyAlignment="1">
      <alignment horizontal="justify"/>
    </xf>
    <xf numFmtId="44" fontId="7" fillId="0" borderId="26" xfId="1" applyFont="1" applyFill="1" applyBorder="1" applyAlignment="1">
      <alignment horizontal="justify"/>
    </xf>
    <xf numFmtId="44" fontId="7" fillId="0" borderId="22" xfId="1" applyFont="1" applyFill="1" applyBorder="1" applyAlignment="1">
      <alignment horizontal="justify"/>
    </xf>
    <xf numFmtId="44" fontId="7" fillId="0" borderId="16" xfId="2" applyNumberFormat="1" applyFont="1" applyFill="1" applyBorder="1" applyAlignment="1">
      <alignment horizontal="center"/>
    </xf>
    <xf numFmtId="14" fontId="8" fillId="0" borderId="0" xfId="1" applyNumberFormat="1" applyFont="1" applyFill="1" applyBorder="1" applyAlignment="1">
      <alignment horizontal="center"/>
    </xf>
    <xf numFmtId="0" fontId="8" fillId="0" borderId="32" xfId="0" applyFont="1" applyBorder="1" applyAlignment="1">
      <alignment horizontal="justify" wrapText="1"/>
    </xf>
    <xf numFmtId="0" fontId="8" fillId="0" borderId="34" xfId="0" applyFont="1" applyBorder="1" applyAlignment="1">
      <alignment horizontal="justify" wrapText="1"/>
    </xf>
    <xf numFmtId="0" fontId="8" fillId="0" borderId="30" xfId="0" applyFont="1" applyBorder="1" applyAlignment="1">
      <alignment horizontal="justify" wrapText="1"/>
    </xf>
    <xf numFmtId="0" fontId="8" fillId="0" borderId="20" xfId="0" applyFont="1" applyBorder="1"/>
    <xf numFmtId="0" fontId="7" fillId="6" borderId="20" xfId="0" applyFont="1" applyFill="1" applyBorder="1"/>
    <xf numFmtId="0" fontId="7" fillId="6" borderId="26" xfId="0" applyFont="1" applyFill="1" applyBorder="1"/>
    <xf numFmtId="0" fontId="7" fillId="0" borderId="20" xfId="0" applyFont="1" applyBorder="1"/>
    <xf numFmtId="0" fontId="7" fillId="0" borderId="26" xfId="0" applyFont="1" applyBorder="1"/>
    <xf numFmtId="0" fontId="9" fillId="0" borderId="0" xfId="0" applyFont="1" applyAlignment="1">
      <alignment horizontal="justify"/>
    </xf>
    <xf numFmtId="0" fontId="7" fillId="0" borderId="28" xfId="0" applyFont="1" applyBorder="1" applyAlignment="1">
      <alignment horizontal="right"/>
    </xf>
    <xf numFmtId="44" fontId="7" fillId="0" borderId="0" xfId="1" applyFont="1" applyFill="1" applyBorder="1" applyAlignment="1">
      <alignment horizontal="center" vertical="center"/>
    </xf>
    <xf numFmtId="49" fontId="8" fillId="0" borderId="18" xfId="1" applyNumberFormat="1" applyFont="1" applyFill="1" applyBorder="1" applyAlignment="1">
      <alignment horizontal="justify" wrapText="1"/>
    </xf>
    <xf numFmtId="0" fontId="14" fillId="0" borderId="18" xfId="0" applyFont="1" applyBorder="1" applyAlignment="1">
      <alignment horizontal="justify"/>
    </xf>
    <xf numFmtId="44" fontId="11" fillId="0" borderId="16" xfId="1" applyFont="1" applyFill="1" applyBorder="1" applyAlignment="1">
      <alignment horizontal="justify"/>
    </xf>
    <xf numFmtId="0" fontId="8" fillId="0" borderId="18" xfId="5" applyFont="1" applyFill="1" applyBorder="1" applyAlignment="1">
      <alignment horizontal="justify" wrapText="1"/>
    </xf>
    <xf numFmtId="9" fontId="7" fillId="0" borderId="18" xfId="2" applyFont="1" applyFill="1" applyBorder="1" applyAlignment="1">
      <alignment horizontal="justify"/>
    </xf>
    <xf numFmtId="0" fontId="8" fillId="0" borderId="18" xfId="0" applyFont="1" applyBorder="1"/>
    <xf numFmtId="0" fontId="7" fillId="0" borderId="30" xfId="0" applyFont="1" applyBorder="1" applyAlignment="1">
      <alignment horizontal="justify"/>
    </xf>
    <xf numFmtId="0" fontId="7" fillId="0" borderId="23" xfId="0" applyFont="1" applyBorder="1" applyAlignment="1">
      <alignment horizontal="right"/>
    </xf>
    <xf numFmtId="0" fontId="8" fillId="0" borderId="16" xfId="0" applyFont="1" applyBorder="1" applyAlignment="1">
      <alignment vertical="center" wrapText="1"/>
    </xf>
    <xf numFmtId="0" fontId="8" fillId="0" borderId="31" xfId="0" applyFont="1" applyBorder="1" applyAlignment="1">
      <alignment horizontal="justify" wrapText="1"/>
    </xf>
    <xf numFmtId="44" fontId="8" fillId="0" borderId="0" xfId="0" applyNumberFormat="1" applyFont="1" applyAlignment="1">
      <alignment horizontal="justify"/>
    </xf>
    <xf numFmtId="0" fontId="8" fillId="0" borderId="30" xfId="0" applyFont="1" applyBorder="1" applyAlignment="1">
      <alignment horizontal="justify"/>
    </xf>
    <xf numFmtId="44" fontId="7" fillId="0" borderId="30" xfId="1" applyFont="1" applyFill="1" applyBorder="1" applyAlignment="1">
      <alignment horizontal="justify"/>
    </xf>
    <xf numFmtId="0" fontId="8" fillId="0" borderId="16" xfId="5" applyFont="1" applyFill="1" applyBorder="1" applyAlignment="1">
      <alignment horizontal="center"/>
    </xf>
    <xf numFmtId="0" fontId="8" fillId="0" borderId="17" xfId="5" applyFont="1" applyFill="1" applyBorder="1" applyAlignment="1">
      <alignment horizontal="justify"/>
    </xf>
    <xf numFmtId="0" fontId="8" fillId="0" borderId="18" xfId="5" applyFont="1" applyFill="1" applyBorder="1" applyAlignment="1">
      <alignment horizontal="center"/>
    </xf>
    <xf numFmtId="0" fontId="8" fillId="0" borderId="0" xfId="0" applyFont="1" applyAlignment="1">
      <alignment horizontal="justify" wrapText="1"/>
    </xf>
    <xf numFmtId="167" fontId="8" fillId="0" borderId="18" xfId="0" applyNumberFormat="1" applyFont="1" applyBorder="1" applyAlignment="1">
      <alignment horizontal="center"/>
    </xf>
    <xf numFmtId="0" fontId="7" fillId="0" borderId="16" xfId="1" applyNumberFormat="1" applyFont="1" applyFill="1" applyBorder="1" applyAlignment="1">
      <alignment horizontal="justify"/>
    </xf>
    <xf numFmtId="0" fontId="7" fillId="0" borderId="16" xfId="1" applyNumberFormat="1" applyFont="1" applyFill="1" applyBorder="1" applyAlignment="1">
      <alignment horizontal="center"/>
    </xf>
    <xf numFmtId="44" fontId="7" fillId="0" borderId="16" xfId="5" applyNumberFormat="1" applyFont="1" applyFill="1" applyBorder="1" applyAlignment="1">
      <alignment horizontal="justify"/>
    </xf>
    <xf numFmtId="0" fontId="8" fillId="0" borderId="16" xfId="5" applyFont="1" applyFill="1" applyBorder="1" applyAlignment="1">
      <alignment horizontal="justify"/>
    </xf>
    <xf numFmtId="44" fontId="7" fillId="0" borderId="18" xfId="5" applyNumberFormat="1" applyFont="1" applyFill="1" applyBorder="1" applyAlignment="1">
      <alignment horizontal="justify"/>
    </xf>
    <xf numFmtId="44" fontId="7" fillId="6" borderId="17" xfId="1" applyFont="1" applyFill="1" applyBorder="1" applyAlignment="1">
      <alignment horizontal="center"/>
    </xf>
    <xf numFmtId="44" fontId="7" fillId="6" borderId="16" xfId="1" applyFont="1" applyFill="1" applyBorder="1" applyAlignment="1">
      <alignment horizontal="center"/>
    </xf>
    <xf numFmtId="44" fontId="7" fillId="6" borderId="19" xfId="1" applyFont="1" applyFill="1" applyBorder="1" applyAlignment="1">
      <alignment horizontal="center"/>
    </xf>
    <xf numFmtId="44" fontId="7" fillId="0" borderId="0" xfId="1" applyFont="1" applyFill="1" applyAlignment="1">
      <alignment horizontal="justify"/>
    </xf>
    <xf numFmtId="44" fontId="8" fillId="6" borderId="0" xfId="1" applyFont="1" applyFill="1" applyAlignment="1">
      <alignment horizontal="justify"/>
    </xf>
    <xf numFmtId="44" fontId="7" fillId="0" borderId="21" xfId="2" applyNumberFormat="1" applyFont="1" applyFill="1" applyBorder="1" applyAlignment="1">
      <alignment horizontal="justify"/>
    </xf>
    <xf numFmtId="9" fontId="7" fillId="0" borderId="21" xfId="2" applyFont="1" applyFill="1" applyBorder="1" applyAlignment="1">
      <alignment horizontal="center"/>
    </xf>
    <xf numFmtId="44" fontId="7" fillId="0" borderId="24" xfId="1" applyFont="1" applyFill="1" applyBorder="1" applyAlignment="1">
      <alignment horizontal="justify"/>
    </xf>
    <xf numFmtId="0" fontId="7" fillId="10" borderId="26" xfId="0" applyFont="1" applyFill="1" applyBorder="1" applyAlignment="1">
      <alignment horizontal="center"/>
    </xf>
    <xf numFmtId="0" fontId="7" fillId="10" borderId="19" xfId="0" applyFont="1" applyFill="1" applyBorder="1" applyAlignment="1">
      <alignment horizontal="center"/>
    </xf>
    <xf numFmtId="44" fontId="7" fillId="10" borderId="18" xfId="1" applyFont="1" applyFill="1" applyBorder="1" applyAlignment="1">
      <alignment horizontal="justify"/>
    </xf>
    <xf numFmtId="44" fontId="7" fillId="10" borderId="18" xfId="1" applyFont="1" applyFill="1" applyBorder="1" applyAlignment="1">
      <alignment horizontal="center"/>
    </xf>
    <xf numFmtId="44" fontId="8" fillId="10" borderId="18" xfId="1" applyFont="1" applyFill="1" applyBorder="1" applyAlignment="1">
      <alignment horizontal="justify"/>
    </xf>
    <xf numFmtId="0" fontId="8" fillId="10" borderId="0" xfId="0" applyFont="1" applyFill="1" applyAlignment="1">
      <alignment horizontal="justify"/>
    </xf>
    <xf numFmtId="164" fontId="8" fillId="0" borderId="30" xfId="1" applyNumberFormat="1" applyFont="1" applyFill="1" applyBorder="1" applyAlignment="1">
      <alignment horizontal="center"/>
    </xf>
    <xf numFmtId="0" fontId="7" fillId="6" borderId="3" xfId="5" applyFont="1" applyFill="1" applyBorder="1" applyAlignment="1">
      <alignment horizontal="justify"/>
    </xf>
    <xf numFmtId="14" fontId="8" fillId="0" borderId="16" xfId="0" applyNumberFormat="1" applyFont="1" applyBorder="1" applyAlignment="1">
      <alignment horizontal="center"/>
    </xf>
    <xf numFmtId="0" fontId="7" fillId="0" borderId="28" xfId="0" applyFont="1" applyBorder="1" applyAlignment="1">
      <alignment horizontal="right" wrapText="1"/>
    </xf>
    <xf numFmtId="44" fontId="7" fillId="0" borderId="23" xfId="0" applyNumberFormat="1" applyFont="1" applyBorder="1" applyAlignment="1">
      <alignment horizontal="center"/>
    </xf>
    <xf numFmtId="0" fontId="8" fillId="0" borderId="17" xfId="0" applyFont="1" applyBorder="1" applyAlignment="1">
      <alignment horizontal="justify" wrapText="1"/>
    </xf>
    <xf numFmtId="14" fontId="8" fillId="6" borderId="16" xfId="1" applyNumberFormat="1" applyFont="1" applyFill="1" applyBorder="1" applyAlignment="1">
      <alignment horizontal="center"/>
    </xf>
    <xf numFmtId="0" fontId="8" fillId="0" borderId="34" xfId="3" applyFont="1" applyFill="1" applyBorder="1" applyAlignment="1">
      <alignment horizontal="justify" wrapText="1"/>
    </xf>
    <xf numFmtId="14" fontId="8" fillId="0" borderId="19" xfId="4" applyNumberFormat="1" applyFont="1" applyFill="1" applyBorder="1" applyAlignment="1" applyProtection="1">
      <alignment horizontal="center"/>
      <protection locked="0"/>
    </xf>
    <xf numFmtId="10" fontId="14" fillId="0" borderId="16" xfId="1" applyNumberFormat="1" applyFont="1" applyFill="1" applyBorder="1" applyAlignment="1">
      <alignment horizontal="center"/>
    </xf>
    <xf numFmtId="14" fontId="7" fillId="0" borderId="18" xfId="0" applyNumberFormat="1" applyFont="1" applyBorder="1" applyAlignment="1">
      <alignment horizontal="center"/>
    </xf>
    <xf numFmtId="14" fontId="7" fillId="0" borderId="0" xfId="0" applyNumberFormat="1" applyFont="1" applyAlignment="1">
      <alignment horizontal="center"/>
    </xf>
    <xf numFmtId="14" fontId="7" fillId="0" borderId="19" xfId="1" applyNumberFormat="1" applyFont="1" applyFill="1" applyBorder="1" applyAlignment="1">
      <alignment horizontal="center"/>
    </xf>
    <xf numFmtId="0" fontId="14" fillId="0" borderId="0" xfId="0" applyFont="1" applyAlignment="1">
      <alignment horizontal="justify"/>
    </xf>
    <xf numFmtId="0" fontId="14" fillId="0" borderId="18" xfId="0" applyFont="1" applyBorder="1" applyAlignment="1">
      <alignment horizontal="center"/>
    </xf>
    <xf numFmtId="0" fontId="14" fillId="0" borderId="16" xfId="0" applyFont="1" applyBorder="1" applyAlignment="1">
      <alignment horizontal="justify" wrapText="1"/>
    </xf>
    <xf numFmtId="0" fontId="14" fillId="0" borderId="18" xfId="0" applyFont="1" applyBorder="1" applyAlignment="1">
      <alignment horizontal="justify" wrapText="1"/>
    </xf>
    <xf numFmtId="14" fontId="14" fillId="0" borderId="19" xfId="1" applyNumberFormat="1" applyFont="1" applyFill="1" applyBorder="1" applyAlignment="1">
      <alignment horizontal="center"/>
    </xf>
    <xf numFmtId="14" fontId="14" fillId="0" borderId="16" xfId="1" applyNumberFormat="1" applyFont="1" applyFill="1" applyBorder="1" applyAlignment="1">
      <alignment horizontal="center"/>
    </xf>
    <xf numFmtId="44" fontId="15" fillId="0" borderId="18" xfId="1" applyFont="1" applyFill="1" applyBorder="1" applyAlignment="1">
      <alignment horizontal="justify"/>
    </xf>
    <xf numFmtId="44" fontId="15" fillId="0" borderId="18" xfId="2" applyNumberFormat="1" applyFont="1" applyFill="1" applyBorder="1" applyAlignment="1">
      <alignment horizontal="justify"/>
    </xf>
    <xf numFmtId="9" fontId="15" fillId="0" borderId="16" xfId="2" applyFont="1" applyFill="1" applyBorder="1" applyAlignment="1">
      <alignment horizontal="center"/>
    </xf>
    <xf numFmtId="44" fontId="15" fillId="0" borderId="16" xfId="1" applyFont="1" applyFill="1" applyBorder="1" applyAlignment="1">
      <alignment horizontal="justify"/>
    </xf>
    <xf numFmtId="164" fontId="14" fillId="0" borderId="18" xfId="1" applyNumberFormat="1" applyFont="1" applyFill="1" applyBorder="1" applyAlignment="1">
      <alignment horizontal="center"/>
    </xf>
    <xf numFmtId="165" fontId="14" fillId="0" borderId="16" xfId="1" applyNumberFormat="1" applyFont="1" applyFill="1" applyBorder="1" applyAlignment="1">
      <alignment horizontal="justify"/>
    </xf>
    <xf numFmtId="44" fontId="14" fillId="0" borderId="0" xfId="1" applyFont="1" applyFill="1" applyBorder="1" applyAlignment="1">
      <alignment horizontal="justify"/>
    </xf>
    <xf numFmtId="44" fontId="14" fillId="0" borderId="17" xfId="0" applyNumberFormat="1" applyFont="1" applyBorder="1" applyAlignment="1">
      <alignment horizontal="center"/>
    </xf>
    <xf numFmtId="44" fontId="14" fillId="0" borderId="16" xfId="0" applyNumberFormat="1" applyFont="1" applyBorder="1" applyAlignment="1">
      <alignment horizontal="center"/>
    </xf>
    <xf numFmtId="44" fontId="15" fillId="0" borderId="21" xfId="1" applyFont="1" applyFill="1" applyBorder="1" applyAlignment="1">
      <alignment horizontal="justify"/>
    </xf>
    <xf numFmtId="0" fontId="10" fillId="0" borderId="0" xfId="0" applyFont="1" applyAlignment="1">
      <alignment horizontal="justify"/>
    </xf>
    <xf numFmtId="165" fontId="8" fillId="11" borderId="18" xfId="1" applyNumberFormat="1" applyFont="1" applyFill="1" applyBorder="1" applyAlignment="1">
      <alignment horizontal="justify"/>
    </xf>
    <xf numFmtId="0" fontId="8" fillId="0" borderId="34" xfId="6" applyFont="1" applyFill="1" applyBorder="1" applyAlignment="1">
      <alignment horizontal="justify" wrapText="1"/>
    </xf>
    <xf numFmtId="0" fontId="8" fillId="0" borderId="28" xfId="0" applyFont="1" applyBorder="1" applyAlignment="1">
      <alignment horizontal="justify"/>
    </xf>
    <xf numFmtId="0" fontId="7" fillId="0" borderId="33" xfId="0" applyFont="1" applyBorder="1" applyAlignment="1">
      <alignment horizontal="right"/>
    </xf>
    <xf numFmtId="0" fontId="7" fillId="0" borderId="33" xfId="0" applyFont="1" applyBorder="1" applyAlignment="1">
      <alignment horizontal="center"/>
    </xf>
    <xf numFmtId="10" fontId="10" fillId="0" borderId="0" xfId="1" applyNumberFormat="1" applyFont="1" applyFill="1" applyBorder="1" applyAlignment="1">
      <alignment horizontal="justify"/>
    </xf>
    <xf numFmtId="14" fontId="8" fillId="6" borderId="18" xfId="1" applyNumberFormat="1" applyFont="1" applyFill="1" applyBorder="1" applyAlignment="1">
      <alignment horizontal="center"/>
    </xf>
    <xf numFmtId="10" fontId="9" fillId="0" borderId="0" xfId="1" applyNumberFormat="1" applyFont="1" applyFill="1" applyBorder="1" applyAlignment="1">
      <alignment horizontal="justify"/>
    </xf>
    <xf numFmtId="44" fontId="7" fillId="6" borderId="5" xfId="5" applyNumberFormat="1" applyFont="1" applyFill="1" applyBorder="1" applyAlignment="1">
      <alignment horizontal="center" wrapText="1"/>
    </xf>
    <xf numFmtId="0" fontId="7" fillId="6" borderId="12" xfId="5" applyFont="1" applyFill="1" applyBorder="1" applyAlignment="1">
      <alignment horizontal="center"/>
    </xf>
    <xf numFmtId="0" fontId="8" fillId="0" borderId="0" xfId="0" applyFont="1" applyAlignment="1">
      <alignment horizontal="center" wrapText="1"/>
    </xf>
    <xf numFmtId="14" fontId="8" fillId="0" borderId="18" xfId="0" applyNumberFormat="1" applyFont="1" applyBorder="1" applyAlignment="1">
      <alignment horizontal="center" wrapText="1"/>
    </xf>
    <xf numFmtId="44" fontId="8" fillId="0" borderId="16" xfId="1" applyFont="1" applyFill="1" applyBorder="1" applyAlignment="1">
      <alignment horizontal="center"/>
    </xf>
    <xf numFmtId="0" fontId="8" fillId="0" borderId="18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/>
    </xf>
    <xf numFmtId="14" fontId="8" fillId="6" borderId="17" xfId="1" applyNumberFormat="1" applyFont="1" applyFill="1" applyBorder="1" applyAlignment="1">
      <alignment horizontal="center"/>
    </xf>
    <xf numFmtId="44" fontId="10" fillId="0" borderId="0" xfId="0" applyNumberFormat="1" applyFont="1" applyAlignment="1">
      <alignment horizontal="justify"/>
    </xf>
    <xf numFmtId="0" fontId="7" fillId="6" borderId="18" xfId="0" applyFont="1" applyFill="1" applyBorder="1" applyAlignment="1">
      <alignment horizontal="justify" wrapText="1"/>
    </xf>
    <xf numFmtId="14" fontId="7" fillId="6" borderId="18" xfId="1" applyNumberFormat="1" applyFont="1" applyFill="1" applyBorder="1" applyAlignment="1">
      <alignment horizontal="center"/>
    </xf>
    <xf numFmtId="0" fontId="7" fillId="0" borderId="18" xfId="0" applyFont="1" applyBorder="1" applyAlignment="1">
      <alignment horizontal="right" wrapText="1"/>
    </xf>
    <xf numFmtId="0" fontId="7" fillId="0" borderId="17" xfId="0" applyFont="1" applyBorder="1" applyAlignment="1">
      <alignment horizontal="center" wrapText="1"/>
    </xf>
    <xf numFmtId="0" fontId="7" fillId="0" borderId="19" xfId="0" applyFont="1" applyBorder="1" applyAlignment="1">
      <alignment horizontal="center" wrapText="1"/>
    </xf>
    <xf numFmtId="10" fontId="8" fillId="0" borderId="24" xfId="1" applyNumberFormat="1" applyFont="1" applyFill="1" applyBorder="1" applyAlignment="1">
      <alignment horizontal="center"/>
    </xf>
    <xf numFmtId="43" fontId="7" fillId="10" borderId="5" xfId="5" applyNumberFormat="1" applyFont="1" applyFill="1" applyBorder="1" applyAlignment="1">
      <alignment horizontal="center"/>
    </xf>
    <xf numFmtId="0" fontId="7" fillId="10" borderId="7" xfId="0" applyFont="1" applyFill="1" applyBorder="1" applyAlignment="1">
      <alignment horizontal="center"/>
    </xf>
    <xf numFmtId="44" fontId="7" fillId="10" borderId="6" xfId="1" applyFont="1" applyFill="1" applyBorder="1" applyAlignment="1">
      <alignment horizontal="center" wrapText="1"/>
    </xf>
    <xf numFmtId="10" fontId="7" fillId="10" borderId="6" xfId="5" applyNumberFormat="1" applyFont="1" applyFill="1" applyBorder="1" applyAlignment="1">
      <alignment horizontal="center"/>
    </xf>
    <xf numFmtId="0" fontId="7" fillId="10" borderId="6" xfId="0" applyFont="1" applyFill="1" applyBorder="1" applyAlignment="1">
      <alignment horizontal="center" wrapText="1"/>
    </xf>
    <xf numFmtId="0" fontId="7" fillId="10" borderId="6" xfId="5" applyFont="1" applyFill="1" applyBorder="1" applyAlignment="1">
      <alignment horizontal="center" wrapText="1"/>
    </xf>
    <xf numFmtId="0" fontId="7" fillId="10" borderId="6" xfId="5" applyFont="1" applyFill="1" applyBorder="1" applyAlignment="1">
      <alignment horizontal="center"/>
    </xf>
    <xf numFmtId="0" fontId="7" fillId="10" borderId="8" xfId="5" applyFont="1" applyFill="1" applyBorder="1" applyAlignment="1">
      <alignment horizontal="center"/>
    </xf>
    <xf numFmtId="44" fontId="7" fillId="10" borderId="6" xfId="1" applyFont="1" applyFill="1" applyBorder="1" applyAlignment="1">
      <alignment horizontal="center"/>
    </xf>
    <xf numFmtId="0" fontId="8" fillId="10" borderId="6" xfId="5" applyFont="1" applyFill="1" applyBorder="1" applyAlignment="1">
      <alignment horizontal="center"/>
    </xf>
    <xf numFmtId="0" fontId="7" fillId="10" borderId="8" xfId="5" applyFont="1" applyFill="1" applyBorder="1" applyAlignment="1">
      <alignment horizontal="center" wrapText="1"/>
    </xf>
    <xf numFmtId="164" fontId="7" fillId="10" borderId="6" xfId="5" applyNumberFormat="1" applyFont="1" applyFill="1" applyBorder="1" applyAlignment="1">
      <alignment horizontal="center"/>
    </xf>
    <xf numFmtId="44" fontId="7" fillId="10" borderId="9" xfId="1" applyFont="1" applyFill="1" applyBorder="1" applyAlignment="1">
      <alignment horizontal="center"/>
    </xf>
    <xf numFmtId="0" fontId="7" fillId="10" borderId="5" xfId="5" applyFont="1" applyFill="1" applyBorder="1" applyAlignment="1">
      <alignment horizontal="center" wrapText="1"/>
    </xf>
    <xf numFmtId="43" fontId="7" fillId="10" borderId="12" xfId="5" applyNumberFormat="1" applyFont="1" applyFill="1" applyBorder="1" applyAlignment="1">
      <alignment horizontal="center"/>
    </xf>
    <xf numFmtId="14" fontId="7" fillId="10" borderId="13" xfId="5" applyNumberFormat="1" applyFont="1" applyFill="1" applyBorder="1" applyAlignment="1">
      <alignment horizontal="center"/>
    </xf>
    <xf numFmtId="0" fontId="7" fillId="10" borderId="11" xfId="1" applyNumberFormat="1" applyFont="1" applyFill="1" applyBorder="1" applyAlignment="1">
      <alignment horizontal="center"/>
    </xf>
    <xf numFmtId="10" fontId="7" fillId="10" borderId="11" xfId="5" applyNumberFormat="1" applyFont="1" applyFill="1" applyBorder="1" applyAlignment="1">
      <alignment horizontal="center"/>
    </xf>
    <xf numFmtId="0" fontId="7" fillId="10" borderId="11" xfId="0" applyFont="1" applyFill="1" applyBorder="1" applyAlignment="1">
      <alignment horizontal="center" wrapText="1"/>
    </xf>
    <xf numFmtId="0" fontId="7" fillId="10" borderId="11" xfId="5" applyNumberFormat="1" applyFont="1" applyFill="1" applyBorder="1" applyAlignment="1">
      <alignment horizontal="center"/>
    </xf>
    <xf numFmtId="44" fontId="7" fillId="10" borderId="11" xfId="5" applyNumberFormat="1" applyFont="1" applyFill="1" applyBorder="1" applyAlignment="1">
      <alignment horizontal="center" wrapText="1"/>
    </xf>
    <xf numFmtId="44" fontId="7" fillId="10" borderId="11" xfId="5" applyNumberFormat="1" applyFont="1" applyFill="1" applyBorder="1" applyAlignment="1">
      <alignment horizontal="center"/>
    </xf>
    <xf numFmtId="44" fontId="7" fillId="10" borderId="14" xfId="5" applyNumberFormat="1" applyFont="1" applyFill="1" applyBorder="1" applyAlignment="1">
      <alignment horizontal="center"/>
    </xf>
    <xf numFmtId="44" fontId="7" fillId="10" borderId="11" xfId="1" applyFont="1" applyFill="1" applyBorder="1" applyAlignment="1">
      <alignment horizontal="center"/>
    </xf>
    <xf numFmtId="44" fontId="8" fillId="10" borderId="11" xfId="5" applyNumberFormat="1" applyFont="1" applyFill="1" applyBorder="1" applyAlignment="1">
      <alignment horizontal="center"/>
    </xf>
    <xf numFmtId="164" fontId="7" fillId="10" borderId="11" xfId="5" applyNumberFormat="1" applyFont="1" applyFill="1" applyBorder="1" applyAlignment="1">
      <alignment horizontal="center"/>
    </xf>
    <xf numFmtId="44" fontId="7" fillId="10" borderId="15" xfId="1" applyFont="1" applyFill="1" applyBorder="1" applyAlignment="1">
      <alignment horizontal="center"/>
    </xf>
    <xf numFmtId="44" fontId="7" fillId="10" borderId="12" xfId="5" applyNumberFormat="1" applyFont="1" applyFill="1" applyBorder="1" applyAlignment="1">
      <alignment horizontal="center"/>
    </xf>
    <xf numFmtId="0" fontId="8" fillId="0" borderId="0" xfId="0" applyFont="1"/>
    <xf numFmtId="0" fontId="7" fillId="0" borderId="20" xfId="0" applyFont="1" applyBorder="1" applyAlignment="1">
      <alignment horizontal="center"/>
    </xf>
    <xf numFmtId="0" fontId="7" fillId="0" borderId="0" xfId="0" applyFont="1" applyAlignment="1">
      <alignment horizontal="justify" wrapText="1"/>
    </xf>
    <xf numFmtId="0" fontId="7" fillId="0" borderId="0" xfId="5" applyFont="1" applyFill="1" applyBorder="1" applyAlignment="1">
      <alignment horizontal="center"/>
    </xf>
    <xf numFmtId="0" fontId="7" fillId="6" borderId="6" xfId="5" applyFont="1" applyFill="1" applyBorder="1" applyAlignment="1">
      <alignment horizontal="justify" wrapText="1"/>
    </xf>
    <xf numFmtId="0" fontId="7" fillId="6" borderId="6" xfId="5" applyFont="1" applyFill="1" applyBorder="1" applyAlignment="1">
      <alignment horizontal="justify"/>
    </xf>
    <xf numFmtId="0" fontId="7" fillId="6" borderId="8" xfId="5" applyFont="1" applyFill="1" applyBorder="1" applyAlignment="1">
      <alignment horizontal="justify"/>
    </xf>
    <xf numFmtId="44" fontId="7" fillId="6" borderId="6" xfId="1" applyFont="1" applyFill="1" applyBorder="1" applyAlignment="1">
      <alignment horizontal="justify"/>
    </xf>
    <xf numFmtId="0" fontId="8" fillId="6" borderId="6" xfId="5" applyFont="1" applyFill="1" applyBorder="1" applyAlignment="1">
      <alignment horizontal="justify"/>
    </xf>
    <xf numFmtId="0" fontId="7" fillId="6" borderId="8" xfId="5" applyFont="1" applyFill="1" applyBorder="1" applyAlignment="1">
      <alignment horizontal="justify" wrapText="1"/>
    </xf>
    <xf numFmtId="44" fontId="7" fillId="6" borderId="9" xfId="1" applyFont="1" applyFill="1" applyBorder="1" applyAlignment="1">
      <alignment horizontal="justify"/>
    </xf>
    <xf numFmtId="0" fontId="7" fillId="6" borderId="5" xfId="5" applyFont="1" applyFill="1" applyBorder="1" applyAlignment="1">
      <alignment horizontal="justify" wrapText="1"/>
    </xf>
    <xf numFmtId="43" fontId="7" fillId="0" borderId="0" xfId="5" applyNumberFormat="1" applyFont="1" applyFill="1" applyBorder="1" applyAlignment="1">
      <alignment horizontal="center"/>
    </xf>
    <xf numFmtId="44" fontId="7" fillId="6" borderId="11" xfId="5" applyNumberFormat="1" applyFont="1" applyFill="1" applyBorder="1" applyAlignment="1">
      <alignment horizontal="justify" wrapText="1"/>
    </xf>
    <xf numFmtId="44" fontId="7" fillId="6" borderId="11" xfId="5" applyNumberFormat="1" applyFont="1" applyFill="1" applyBorder="1" applyAlignment="1">
      <alignment horizontal="justify"/>
    </xf>
    <xf numFmtId="44" fontId="7" fillId="6" borderId="14" xfId="5" applyNumberFormat="1" applyFont="1" applyFill="1" applyBorder="1" applyAlignment="1">
      <alignment horizontal="justify"/>
    </xf>
    <xf numFmtId="44" fontId="7" fillId="6" borderId="11" xfId="1" applyFont="1" applyFill="1" applyBorder="1" applyAlignment="1">
      <alignment horizontal="justify"/>
    </xf>
    <xf numFmtId="44" fontId="8" fillId="6" borderId="11" xfId="5" applyNumberFormat="1" applyFont="1" applyFill="1" applyBorder="1" applyAlignment="1">
      <alignment horizontal="justify"/>
    </xf>
    <xf numFmtId="44" fontId="7" fillId="6" borderId="15" xfId="1" applyFont="1" applyFill="1" applyBorder="1" applyAlignment="1">
      <alignment horizontal="justify"/>
    </xf>
    <xf numFmtId="44" fontId="7" fillId="6" borderId="12" xfId="5" applyNumberFormat="1" applyFont="1" applyFill="1" applyBorder="1" applyAlignment="1">
      <alignment horizontal="justify"/>
    </xf>
    <xf numFmtId="44" fontId="7" fillId="0" borderId="16" xfId="0" applyNumberFormat="1" applyFont="1" applyBorder="1" applyAlignment="1">
      <alignment horizontal="justify"/>
    </xf>
    <xf numFmtId="44" fontId="8" fillId="0" borderId="16" xfId="0" applyNumberFormat="1" applyFont="1" applyBorder="1" applyAlignment="1">
      <alignment horizontal="justify"/>
    </xf>
    <xf numFmtId="44" fontId="9" fillId="0" borderId="0" xfId="0" applyNumberFormat="1" applyFont="1" applyAlignment="1">
      <alignment horizontal="justify"/>
    </xf>
    <xf numFmtId="44" fontId="7" fillId="0" borderId="18" xfId="0" applyNumberFormat="1" applyFont="1" applyBorder="1" applyAlignment="1">
      <alignment horizontal="justify"/>
    </xf>
    <xf numFmtId="44" fontId="7" fillId="0" borderId="23" xfId="1" applyFont="1" applyFill="1" applyBorder="1" applyAlignment="1">
      <alignment horizontal="center"/>
    </xf>
    <xf numFmtId="44" fontId="16" fillId="0" borderId="0" xfId="1" applyFont="1" applyFill="1" applyAlignment="1">
      <alignment horizontal="justify"/>
    </xf>
    <xf numFmtId="0" fontId="16" fillId="0" borderId="0" xfId="0" applyFont="1" applyAlignment="1">
      <alignment horizontal="justify"/>
    </xf>
    <xf numFmtId="43" fontId="8" fillId="0" borderId="0" xfId="1" applyNumberFormat="1" applyFont="1" applyFill="1" applyBorder="1" applyAlignment="1">
      <alignment horizontal="center"/>
    </xf>
    <xf numFmtId="44" fontId="17" fillId="0" borderId="36" xfId="1" applyFont="1" applyFill="1" applyBorder="1" applyAlignment="1">
      <alignment horizontal="justify"/>
    </xf>
    <xf numFmtId="44" fontId="7" fillId="0" borderId="36" xfId="1" applyFont="1" applyFill="1" applyBorder="1" applyAlignment="1">
      <alignment horizontal="center"/>
    </xf>
    <xf numFmtId="0" fontId="7" fillId="0" borderId="0" xfId="0" applyFont="1"/>
    <xf numFmtId="44" fontId="17" fillId="0" borderId="0" xfId="0" applyNumberFormat="1" applyFont="1"/>
    <xf numFmtId="0" fontId="16" fillId="0" borderId="0" xfId="0" applyFont="1" applyAlignment="1">
      <alignment horizontal="center"/>
    </xf>
    <xf numFmtId="44" fontId="16" fillId="0" borderId="0" xfId="0" applyNumberFormat="1" applyFont="1" applyAlignment="1">
      <alignment horizontal="justify"/>
    </xf>
    <xf numFmtId="44" fontId="8" fillId="0" borderId="0" xfId="1" applyFont="1" applyFill="1" applyAlignment="1">
      <alignment horizontal="center"/>
    </xf>
    <xf numFmtId="0" fontId="8" fillId="0" borderId="0" xfId="7" applyFont="1" applyAlignment="1">
      <alignment horizontal="justify" wrapText="1"/>
    </xf>
    <xf numFmtId="44" fontId="7" fillId="0" borderId="0" xfId="0" applyNumberFormat="1" applyFont="1" applyAlignment="1">
      <alignment vertical="center"/>
    </xf>
    <xf numFmtId="164" fontId="8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4" fontId="9" fillId="0" borderId="0" xfId="0" applyNumberFormat="1" applyFont="1" applyAlignment="1">
      <alignment horizontal="center"/>
    </xf>
    <xf numFmtId="44" fontId="9" fillId="0" borderId="0" xfId="1" applyFont="1" applyFill="1" applyAlignment="1">
      <alignment horizontal="center"/>
    </xf>
    <xf numFmtId="44" fontId="9" fillId="0" borderId="0" xfId="0" applyNumberFormat="1" applyFont="1" applyAlignment="1">
      <alignment horizontal="right" vertical="center"/>
    </xf>
    <xf numFmtId="44" fontId="9" fillId="0" borderId="0" xfId="0" applyNumberFormat="1" applyFont="1" applyAlignment="1">
      <alignment vertical="center"/>
    </xf>
    <xf numFmtId="14" fontId="8" fillId="0" borderId="20" xfId="1" applyNumberFormat="1" applyFont="1" applyFill="1" applyBorder="1" applyAlignment="1">
      <alignment horizontal="center"/>
    </xf>
    <xf numFmtId="14" fontId="8" fillId="0" borderId="19" xfId="1" applyNumberFormat="1" applyFont="1" applyFill="1" applyBorder="1" applyAlignment="1">
      <alignment horizontal="center"/>
    </xf>
    <xf numFmtId="0" fontId="8" fillId="0" borderId="0" xfId="0" applyFont="1" applyFill="1" applyAlignment="1">
      <alignment horizontal="justify"/>
    </xf>
    <xf numFmtId="0" fontId="8" fillId="0" borderId="18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justify"/>
    </xf>
    <xf numFmtId="0" fontId="8" fillId="0" borderId="19" xfId="0" applyFont="1" applyFill="1" applyBorder="1" applyAlignment="1">
      <alignment horizontal="justify" wrapText="1"/>
    </xf>
    <xf numFmtId="44" fontId="8" fillId="0" borderId="16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justify"/>
    </xf>
    <xf numFmtId="0" fontId="8" fillId="0" borderId="18" xfId="0" applyFont="1" applyFill="1" applyBorder="1" applyAlignment="1">
      <alignment horizontal="justify" wrapText="1"/>
    </xf>
    <xf numFmtId="0" fontId="8" fillId="0" borderId="18" xfId="0" applyFont="1" applyFill="1" applyBorder="1" applyAlignment="1">
      <alignment horizontal="justify"/>
    </xf>
    <xf numFmtId="0" fontId="8" fillId="0" borderId="18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justify"/>
    </xf>
    <xf numFmtId="0" fontId="8" fillId="0" borderId="16" xfId="0" applyFont="1" applyFill="1" applyBorder="1" applyAlignment="1">
      <alignment horizontal="justify"/>
    </xf>
    <xf numFmtId="0" fontId="8" fillId="0" borderId="20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left" wrapText="1"/>
    </xf>
    <xf numFmtId="0" fontId="8" fillId="0" borderId="24" xfId="0" applyFont="1" applyFill="1" applyBorder="1" applyAlignment="1">
      <alignment horizontal="justify"/>
    </xf>
    <xf numFmtId="0" fontId="8" fillId="0" borderId="24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justify" wrapText="1"/>
    </xf>
    <xf numFmtId="0" fontId="8" fillId="0" borderId="23" xfId="0" applyFont="1" applyFill="1" applyBorder="1" applyAlignment="1">
      <alignment horizontal="justify"/>
    </xf>
    <xf numFmtId="0" fontId="8" fillId="0" borderId="31" xfId="0" applyFont="1" applyFill="1" applyBorder="1" applyAlignment="1">
      <alignment horizontal="left" wrapText="1"/>
    </xf>
    <xf numFmtId="14" fontId="8" fillId="0" borderId="18" xfId="0" applyNumberFormat="1" applyFont="1" applyFill="1" applyBorder="1" applyAlignment="1">
      <alignment horizontal="center"/>
    </xf>
    <xf numFmtId="0" fontId="8" fillId="0" borderId="32" xfId="0" applyFont="1" applyFill="1" applyBorder="1" applyAlignment="1">
      <alignment horizontal="left" wrapText="1"/>
    </xf>
    <xf numFmtId="44" fontId="7" fillId="0" borderId="31" xfId="1" applyFont="1" applyFill="1" applyBorder="1" applyAlignment="1">
      <alignment horizontal="justify" wrapText="1"/>
    </xf>
    <xf numFmtId="44" fontId="7" fillId="0" borderId="17" xfId="1" applyFont="1" applyFill="1" applyBorder="1" applyAlignment="1">
      <alignment horizontal="justify"/>
    </xf>
    <xf numFmtId="166" fontId="7" fillId="0" borderId="17" xfId="0" applyNumberFormat="1" applyFont="1" applyFill="1" applyBorder="1" applyAlignment="1">
      <alignment horizontal="center"/>
    </xf>
    <xf numFmtId="0" fontId="8" fillId="0" borderId="17" xfId="0" applyFont="1" applyFill="1" applyBorder="1" applyAlignment="1">
      <alignment horizontal="left" wrapText="1"/>
    </xf>
    <xf numFmtId="14" fontId="8" fillId="0" borderId="17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justify" wrapText="1"/>
    </xf>
    <xf numFmtId="14" fontId="8" fillId="0" borderId="16" xfId="0" applyNumberFormat="1" applyFont="1" applyFill="1" applyBorder="1" applyAlignment="1">
      <alignment horizontal="center"/>
    </xf>
    <xf numFmtId="10" fontId="8" fillId="0" borderId="20" xfId="1" applyNumberFormat="1" applyFont="1" applyFill="1" applyBorder="1" applyAlignment="1">
      <alignment horizontal="justify" wrapText="1"/>
    </xf>
    <xf numFmtId="0" fontId="8" fillId="0" borderId="20" xfId="0" applyFont="1" applyFill="1" applyBorder="1" applyAlignment="1">
      <alignment horizontal="justify" wrapText="1"/>
    </xf>
    <xf numFmtId="44" fontId="8" fillId="0" borderId="18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20" xfId="0" applyFont="1" applyFill="1" applyBorder="1" applyAlignment="1">
      <alignment horizontal="justify"/>
    </xf>
    <xf numFmtId="14" fontId="8" fillId="0" borderId="19" xfId="0" applyNumberFormat="1" applyFont="1" applyFill="1" applyBorder="1" applyAlignment="1">
      <alignment horizontal="center"/>
    </xf>
    <xf numFmtId="0" fontId="8" fillId="0" borderId="16" xfId="0" applyFont="1" applyFill="1" applyBorder="1"/>
    <xf numFmtId="44" fontId="8" fillId="0" borderId="21" xfId="1" applyFont="1" applyFill="1" applyBorder="1" applyAlignment="1">
      <alignment horizontal="justify" wrapText="1"/>
    </xf>
    <xf numFmtId="44" fontId="8" fillId="0" borderId="17" xfId="0" applyNumberFormat="1" applyFont="1" applyFill="1" applyBorder="1" applyAlignment="1">
      <alignment horizontal="center"/>
    </xf>
    <xf numFmtId="14" fontId="8" fillId="0" borderId="23" xfId="0" applyNumberFormat="1" applyFont="1" applyFill="1" applyBorder="1" applyAlignment="1">
      <alignment horizontal="center"/>
    </xf>
    <xf numFmtId="44" fontId="8" fillId="0" borderId="24" xfId="1" applyFont="1" applyFill="1" applyBorder="1" applyAlignment="1">
      <alignment horizontal="justify"/>
    </xf>
    <xf numFmtId="14" fontId="8" fillId="0" borderId="22" xfId="1" applyNumberFormat="1" applyFont="1" applyFill="1" applyBorder="1" applyAlignment="1">
      <alignment horizontal="center"/>
    </xf>
    <xf numFmtId="0" fontId="14" fillId="0" borderId="18" xfId="0" applyFont="1" applyFill="1" applyBorder="1" applyAlignment="1">
      <alignment horizontal="justify"/>
    </xf>
    <xf numFmtId="0" fontId="12" fillId="0" borderId="0" xfId="0" applyFont="1" applyFill="1" applyAlignment="1">
      <alignment horizontal="justify"/>
    </xf>
    <xf numFmtId="166" fontId="8" fillId="0" borderId="34" xfId="0" applyNumberFormat="1" applyFont="1" applyFill="1" applyBorder="1" applyAlignment="1">
      <alignment horizontal="left" wrapText="1"/>
    </xf>
    <xf numFmtId="0" fontId="8" fillId="0" borderId="34" xfId="0" applyFont="1" applyFill="1" applyBorder="1" applyAlignment="1">
      <alignment horizontal="justify" wrapText="1"/>
    </xf>
    <xf numFmtId="0" fontId="8" fillId="0" borderId="16" xfId="0" applyFont="1" applyFill="1" applyBorder="1" applyAlignment="1">
      <alignment horizontal="left" wrapText="1"/>
    </xf>
    <xf numFmtId="0" fontId="8" fillId="0" borderId="18" xfId="0" applyFont="1" applyFill="1" applyBorder="1"/>
    <xf numFmtId="0" fontId="7" fillId="0" borderId="0" xfId="0" applyFont="1" applyFill="1" applyAlignment="1">
      <alignment horizontal="justify"/>
    </xf>
    <xf numFmtId="0" fontId="8" fillId="0" borderId="18" xfId="0" applyFont="1" applyFill="1" applyBorder="1" applyAlignment="1">
      <alignment horizontal="center" vertical="center"/>
    </xf>
    <xf numFmtId="44" fontId="8" fillId="0" borderId="0" xfId="0" applyNumberFormat="1" applyFont="1" applyFill="1" applyAlignment="1">
      <alignment horizontal="justify"/>
    </xf>
    <xf numFmtId="0" fontId="7" fillId="0" borderId="16" xfId="0" applyFont="1" applyFill="1" applyBorder="1" applyAlignment="1">
      <alignment horizontal="justify"/>
    </xf>
    <xf numFmtId="14" fontId="8" fillId="0" borderId="29" xfId="0" applyNumberFormat="1" applyFont="1" applyFill="1" applyBorder="1" applyAlignment="1">
      <alignment horizontal="center"/>
    </xf>
    <xf numFmtId="0" fontId="8" fillId="0" borderId="30" xfId="0" applyFont="1" applyFill="1" applyBorder="1" applyAlignment="1">
      <alignment horizontal="justify"/>
    </xf>
    <xf numFmtId="0" fontId="8" fillId="0" borderId="30" xfId="0" applyFont="1" applyFill="1" applyBorder="1" applyAlignment="1">
      <alignment horizontal="left" wrapText="1"/>
    </xf>
    <xf numFmtId="14" fontId="8" fillId="0" borderId="28" xfId="0" applyNumberFormat="1" applyFont="1" applyFill="1" applyBorder="1" applyAlignment="1">
      <alignment horizontal="center"/>
    </xf>
    <xf numFmtId="44" fontId="8" fillId="0" borderId="19" xfId="0" applyNumberFormat="1" applyFont="1" applyFill="1" applyBorder="1" applyAlignment="1">
      <alignment horizontal="center"/>
    </xf>
    <xf numFmtId="0" fontId="8" fillId="0" borderId="34" xfId="0" applyFont="1" applyFill="1" applyBorder="1" applyAlignment="1">
      <alignment horizontal="left" vertical="center" wrapText="1"/>
    </xf>
    <xf numFmtId="0" fontId="8" fillId="0" borderId="34" xfId="0" applyFont="1" applyFill="1" applyBorder="1" applyAlignment="1">
      <alignment horizontal="left" wrapText="1"/>
    </xf>
    <xf numFmtId="14" fontId="8" fillId="0" borderId="0" xfId="0" applyNumberFormat="1" applyFont="1" applyFill="1" applyAlignment="1">
      <alignment horizontal="center"/>
    </xf>
    <xf numFmtId="0" fontId="8" fillId="0" borderId="30" xfId="0" applyFont="1" applyFill="1" applyBorder="1" applyAlignment="1">
      <alignment horizontal="justify" wrapText="1"/>
    </xf>
    <xf numFmtId="0" fontId="8" fillId="0" borderId="30" xfId="0" applyFont="1" applyFill="1" applyBorder="1" applyAlignment="1">
      <alignment horizontal="left" vertical="center" wrapText="1"/>
    </xf>
    <xf numFmtId="14" fontId="8" fillId="0" borderId="18" xfId="0" applyNumberFormat="1" applyFont="1" applyFill="1" applyBorder="1" applyAlignment="1">
      <alignment horizontal="justify"/>
    </xf>
    <xf numFmtId="0" fontId="14" fillId="0" borderId="18" xfId="0" applyFont="1" applyFill="1" applyBorder="1" applyAlignment="1">
      <alignment horizontal="left" vertical="center" wrapText="1"/>
    </xf>
    <xf numFmtId="44" fontId="8" fillId="0" borderId="18" xfId="1" applyFont="1" applyFill="1" applyBorder="1" applyAlignment="1">
      <alignment horizontal="justify" wrapText="1"/>
    </xf>
    <xf numFmtId="0" fontId="8" fillId="0" borderId="34" xfId="0" applyFont="1" applyFill="1" applyBorder="1" applyAlignment="1">
      <alignment horizontal="justify"/>
    </xf>
    <xf numFmtId="167" fontId="8" fillId="0" borderId="19" xfId="0" applyNumberFormat="1" applyFont="1" applyFill="1" applyBorder="1" applyAlignment="1">
      <alignment horizontal="center"/>
    </xf>
    <xf numFmtId="0" fontId="7" fillId="0" borderId="24" xfId="0" applyFont="1" applyFill="1" applyBorder="1" applyAlignment="1">
      <alignment horizontal="justify"/>
    </xf>
    <xf numFmtId="14" fontId="7" fillId="0" borderId="0" xfId="0" applyNumberFormat="1" applyFont="1" applyFill="1" applyAlignment="1">
      <alignment horizontal="center"/>
    </xf>
    <xf numFmtId="44" fontId="8" fillId="0" borderId="23" xfId="0" applyNumberFormat="1" applyFont="1" applyFill="1" applyBorder="1" applyAlignment="1">
      <alignment horizontal="center"/>
    </xf>
    <xf numFmtId="44" fontId="8" fillId="0" borderId="24" xfId="0" applyNumberFormat="1" applyFont="1" applyFill="1" applyBorder="1" applyAlignment="1">
      <alignment horizontal="center"/>
    </xf>
    <xf numFmtId="0" fontId="8" fillId="0" borderId="30" xfId="0" applyFont="1" applyFill="1" applyBorder="1" applyAlignment="1">
      <alignment horizontal="center"/>
    </xf>
    <xf numFmtId="0" fontId="8" fillId="0" borderId="27" xfId="0" applyFont="1" applyFill="1" applyBorder="1" applyAlignment="1">
      <alignment horizontal="left" wrapText="1"/>
    </xf>
    <xf numFmtId="44" fontId="7" fillId="0" borderId="30" xfId="2" applyNumberFormat="1" applyFont="1" applyFill="1" applyBorder="1" applyAlignment="1">
      <alignment horizontal="justify"/>
    </xf>
    <xf numFmtId="9" fontId="7" fillId="0" borderId="24" xfId="2" applyFont="1" applyFill="1" applyBorder="1" applyAlignment="1">
      <alignment horizontal="center"/>
    </xf>
    <xf numFmtId="165" fontId="8" fillId="0" borderId="24" xfId="1" applyNumberFormat="1" applyFont="1" applyFill="1" applyBorder="1" applyAlignment="1">
      <alignment horizontal="justify"/>
    </xf>
    <xf numFmtId="0" fontId="10" fillId="0" borderId="0" xfId="0" applyFont="1" applyFill="1" applyAlignment="1">
      <alignment horizontal="justify"/>
    </xf>
    <xf numFmtId="0" fontId="8" fillId="0" borderId="22" xfId="0" applyFont="1" applyFill="1" applyBorder="1" applyAlignment="1">
      <alignment horizontal="justify" wrapText="1"/>
    </xf>
    <xf numFmtId="0" fontId="7" fillId="0" borderId="18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justify"/>
    </xf>
    <xf numFmtId="0" fontId="8" fillId="0" borderId="18" xfId="0" applyFont="1" applyFill="1" applyBorder="1" applyAlignment="1">
      <alignment horizontal="center" wrapText="1"/>
    </xf>
    <xf numFmtId="0" fontId="7" fillId="0" borderId="20" xfId="0" applyFont="1" applyFill="1" applyBorder="1"/>
    <xf numFmtId="0" fontId="7" fillId="0" borderId="22" xfId="0" applyFont="1" applyFill="1" applyBorder="1" applyAlignment="1">
      <alignment horizontal="justify" wrapText="1"/>
    </xf>
    <xf numFmtId="14" fontId="8" fillId="0" borderId="30" xfId="0" applyNumberFormat="1" applyFont="1" applyFill="1" applyBorder="1" applyAlignment="1">
      <alignment horizontal="center"/>
    </xf>
    <xf numFmtId="0" fontId="7" fillId="0" borderId="20" xfId="0" applyFont="1" applyFill="1" applyBorder="1" applyAlignment="1">
      <alignment horizontal="justify" wrapText="1"/>
    </xf>
    <xf numFmtId="14" fontId="8" fillId="0" borderId="33" xfId="0" applyNumberFormat="1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44" fontId="7" fillId="0" borderId="16" xfId="0" applyNumberFormat="1" applyFont="1" applyFill="1" applyBorder="1" applyAlignment="1">
      <alignment horizontal="center"/>
    </xf>
    <xf numFmtId="0" fontId="8" fillId="0" borderId="35" xfId="0" applyFont="1" applyFill="1" applyBorder="1" applyAlignment="1">
      <alignment horizontal="justify" wrapText="1"/>
    </xf>
    <xf numFmtId="0" fontId="8" fillId="0" borderId="35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wrapText="1"/>
    </xf>
    <xf numFmtId="0" fontId="8" fillId="0" borderId="20" xfId="0" applyFont="1" applyFill="1" applyBorder="1" applyAlignment="1">
      <alignment horizontal="left" wrapText="1"/>
    </xf>
    <xf numFmtId="0" fontId="7" fillId="6" borderId="20" xfId="0" applyFont="1" applyFill="1" applyBorder="1" applyAlignment="1">
      <alignment horizontal="left"/>
    </xf>
    <xf numFmtId="0" fontId="7" fillId="6" borderId="26" xfId="0" applyFont="1" applyFill="1" applyBorder="1" applyAlignment="1">
      <alignment horizontal="left"/>
    </xf>
    <xf numFmtId="0" fontId="7" fillId="0" borderId="20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14" fontId="8" fillId="0" borderId="20" xfId="1" applyNumberFormat="1" applyFont="1" applyFill="1" applyBorder="1" applyAlignment="1">
      <alignment horizontal="center"/>
    </xf>
    <xf numFmtId="14" fontId="8" fillId="0" borderId="26" xfId="1" applyNumberFormat="1" applyFont="1" applyFill="1" applyBorder="1" applyAlignment="1">
      <alignment horizontal="center"/>
    </xf>
    <xf numFmtId="14" fontId="8" fillId="0" borderId="19" xfId="1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7" fillId="6" borderId="2" xfId="5" applyFont="1" applyFill="1" applyBorder="1" applyAlignment="1">
      <alignment horizontal="center"/>
    </xf>
    <xf numFmtId="0" fontId="7" fillId="6" borderId="3" xfId="5" applyFont="1" applyFill="1" applyBorder="1" applyAlignment="1">
      <alignment horizontal="center"/>
    </xf>
    <xf numFmtId="0" fontId="7" fillId="6" borderId="4" xfId="5" applyFont="1" applyFill="1" applyBorder="1" applyAlignment="1">
      <alignment horizontal="center"/>
    </xf>
    <xf numFmtId="0" fontId="7" fillId="6" borderId="6" xfId="5" applyFont="1" applyFill="1" applyBorder="1" applyAlignment="1">
      <alignment horizontal="center" vertical="center" wrapText="1"/>
    </xf>
    <xf numFmtId="0" fontId="7" fillId="6" borderId="11" xfId="5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right"/>
    </xf>
    <xf numFmtId="0" fontId="7" fillId="6" borderId="26" xfId="0" applyFont="1" applyFill="1" applyBorder="1" applyAlignment="1">
      <alignment horizontal="right"/>
    </xf>
    <xf numFmtId="0" fontId="7" fillId="6" borderId="19" xfId="0" applyFont="1" applyFill="1" applyBorder="1" applyAlignment="1">
      <alignment horizontal="right"/>
    </xf>
    <xf numFmtId="44" fontId="8" fillId="0" borderId="26" xfId="1" applyFont="1" applyFill="1" applyBorder="1" applyAlignment="1">
      <alignment horizontal="center"/>
    </xf>
    <xf numFmtId="44" fontId="8" fillId="0" borderId="19" xfId="1" applyFont="1" applyFill="1" applyBorder="1" applyAlignment="1">
      <alignment horizontal="center"/>
    </xf>
    <xf numFmtId="44" fontId="8" fillId="0" borderId="20" xfId="0" applyNumberFormat="1" applyFont="1" applyBorder="1" applyAlignment="1">
      <alignment horizontal="center"/>
    </xf>
    <xf numFmtId="44" fontId="8" fillId="0" borderId="26" xfId="0" applyNumberFormat="1" applyFont="1" applyBorder="1" applyAlignment="1">
      <alignment horizontal="center"/>
    </xf>
    <xf numFmtId="44" fontId="8" fillId="0" borderId="19" xfId="0" applyNumberFormat="1" applyFont="1" applyBorder="1" applyAlignment="1">
      <alignment horizontal="center"/>
    </xf>
    <xf numFmtId="0" fontId="7" fillId="6" borderId="2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6" borderId="4" xfId="0" applyFont="1" applyFill="1" applyBorder="1" applyAlignment="1">
      <alignment horizontal="center"/>
    </xf>
    <xf numFmtId="44" fontId="7" fillId="0" borderId="26" xfId="1" applyFont="1" applyFill="1" applyBorder="1" applyAlignment="1">
      <alignment horizontal="center"/>
    </xf>
    <xf numFmtId="44" fontId="7" fillId="0" borderId="19" xfId="1" applyFont="1" applyFill="1" applyBorder="1" applyAlignment="1">
      <alignment horizontal="center"/>
    </xf>
    <xf numFmtId="44" fontId="7" fillId="0" borderId="20" xfId="0" applyNumberFormat="1" applyFont="1" applyBorder="1" applyAlignment="1">
      <alignment horizontal="center"/>
    </xf>
    <xf numFmtId="44" fontId="7" fillId="0" borderId="26" xfId="0" applyNumberFormat="1" applyFont="1" applyBorder="1" applyAlignment="1">
      <alignment horizontal="center"/>
    </xf>
    <xf numFmtId="44" fontId="7" fillId="0" borderId="19" xfId="0" applyNumberFormat="1" applyFont="1" applyBorder="1" applyAlignment="1">
      <alignment horizontal="center"/>
    </xf>
    <xf numFmtId="44" fontId="7" fillId="0" borderId="20" xfId="1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44" fontId="8" fillId="0" borderId="20" xfId="1" applyFont="1" applyFill="1" applyBorder="1" applyAlignment="1">
      <alignment horizontal="center"/>
    </xf>
    <xf numFmtId="44" fontId="7" fillId="6" borderId="20" xfId="1" applyFont="1" applyFill="1" applyBorder="1" applyAlignment="1">
      <alignment horizontal="right"/>
    </xf>
    <xf numFmtId="44" fontId="7" fillId="6" borderId="26" xfId="1" applyFont="1" applyFill="1" applyBorder="1" applyAlignment="1">
      <alignment horizontal="right"/>
    </xf>
    <xf numFmtId="44" fontId="7" fillId="6" borderId="19" xfId="1" applyFont="1" applyFill="1" applyBorder="1" applyAlignment="1">
      <alignment horizontal="right"/>
    </xf>
    <xf numFmtId="0" fontId="7" fillId="10" borderId="20" xfId="0" applyFont="1" applyFill="1" applyBorder="1" applyAlignment="1">
      <alignment horizontal="right"/>
    </xf>
    <xf numFmtId="0" fontId="7" fillId="10" borderId="26" xfId="0" applyFont="1" applyFill="1" applyBorder="1" applyAlignment="1">
      <alignment horizontal="right"/>
    </xf>
    <xf numFmtId="0" fontId="7" fillId="10" borderId="19" xfId="0" applyFont="1" applyFill="1" applyBorder="1" applyAlignment="1">
      <alignment horizontal="right"/>
    </xf>
    <xf numFmtId="0" fontId="7" fillId="6" borderId="2" xfId="0" applyFont="1" applyFill="1" applyBorder="1" applyAlignment="1">
      <alignment horizontal="center" wrapText="1"/>
    </xf>
    <xf numFmtId="0" fontId="7" fillId="6" borderId="3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10" fontId="8" fillId="0" borderId="20" xfId="1" applyNumberFormat="1" applyFont="1" applyFill="1" applyBorder="1" applyAlignment="1">
      <alignment horizontal="center"/>
    </xf>
    <xf numFmtId="10" fontId="8" fillId="0" borderId="26" xfId="1" applyNumberFormat="1" applyFont="1" applyFill="1" applyBorder="1" applyAlignment="1">
      <alignment horizontal="center"/>
    </xf>
    <xf numFmtId="10" fontId="8" fillId="0" borderId="19" xfId="1" applyNumberFormat="1" applyFont="1" applyFill="1" applyBorder="1" applyAlignment="1">
      <alignment horizontal="center"/>
    </xf>
    <xf numFmtId="0" fontId="7" fillId="6" borderId="18" xfId="0" applyFont="1" applyFill="1" applyBorder="1" applyAlignment="1">
      <alignment horizontal="left"/>
    </xf>
    <xf numFmtId="0" fontId="7" fillId="0" borderId="18" xfId="0" applyFont="1" applyBorder="1" applyAlignment="1">
      <alignment horizontal="left"/>
    </xf>
    <xf numFmtId="0" fontId="7" fillId="6" borderId="20" xfId="0" applyFont="1" applyFill="1" applyBorder="1"/>
    <xf numFmtId="0" fontId="7" fillId="6" borderId="26" xfId="0" applyFont="1" applyFill="1" applyBorder="1"/>
    <xf numFmtId="0" fontId="7" fillId="10" borderId="6" xfId="5" applyFont="1" applyFill="1" applyBorder="1" applyAlignment="1">
      <alignment horizontal="center" vertical="center" wrapText="1"/>
    </xf>
    <xf numFmtId="0" fontId="7" fillId="10" borderId="11" xfId="5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right"/>
    </xf>
    <xf numFmtId="0" fontId="7" fillId="0" borderId="26" xfId="0" applyFont="1" applyFill="1" applyBorder="1" applyAlignment="1">
      <alignment horizontal="right"/>
    </xf>
    <xf numFmtId="0" fontId="7" fillId="0" borderId="19" xfId="0" applyFont="1" applyFill="1" applyBorder="1" applyAlignment="1">
      <alignment horizontal="right"/>
    </xf>
    <xf numFmtId="44" fontId="16" fillId="0" borderId="0" xfId="1" applyFont="1" applyFill="1" applyBorder="1" applyAlignment="1">
      <alignment horizontal="left"/>
    </xf>
    <xf numFmtId="44" fontId="7" fillId="0" borderId="36" xfId="1" applyFont="1" applyFill="1" applyBorder="1" applyAlignment="1">
      <alignment horizontal="center"/>
    </xf>
  </cellXfs>
  <cellStyles count="8">
    <cellStyle name="Bueno" xfId="3" builtinId="26"/>
    <cellStyle name="Énfasis5" xfId="6" builtinId="45"/>
    <cellStyle name="Moneda" xfId="1" builtinId="4"/>
    <cellStyle name="Neutral" xfId="4" builtinId="28"/>
    <cellStyle name="Normal" xfId="0" builtinId="0"/>
    <cellStyle name="Normal 2" xfId="7"/>
    <cellStyle name="Notas" xfId="5" builtinId="1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U967"/>
  <sheetViews>
    <sheetView tabSelected="1" zoomScale="115" zoomScaleNormal="115" workbookViewId="0"/>
  </sheetViews>
  <sheetFormatPr baseColWidth="10" defaultColWidth="11.42578125" defaultRowHeight="11.25" x14ac:dyDescent="0.2"/>
  <cols>
    <col min="1" max="1" width="3" style="50" customWidth="1"/>
    <col min="2" max="2" width="5.28515625" style="127" customWidth="1"/>
    <col min="3" max="3" width="8.7109375" style="50" customWidth="1"/>
    <col min="4" max="4" width="6.28515625" style="127" customWidth="1"/>
    <col min="5" max="5" width="31.85546875" style="50" customWidth="1"/>
    <col min="6" max="6" width="37.85546875" style="50" customWidth="1"/>
    <col min="7" max="7" width="10.7109375" style="127" hidden="1" customWidth="1"/>
    <col min="8" max="8" width="9.5703125" style="127" hidden="1" customWidth="1"/>
    <col min="9" max="9" width="14.85546875" style="94" hidden="1" customWidth="1"/>
    <col min="10" max="10" width="9.42578125" style="50" hidden="1" customWidth="1"/>
    <col min="11" max="11" width="10.85546875" style="50" hidden="1" customWidth="1"/>
    <col min="12" max="12" width="11.7109375" style="127" hidden="1" customWidth="1"/>
    <col min="13" max="13" width="7.28515625" style="127" hidden="1" customWidth="1"/>
    <col min="14" max="14" width="12.7109375" style="50" hidden="1" customWidth="1"/>
    <col min="15" max="15" width="11.85546875" style="94" customWidth="1"/>
    <col min="16" max="16" width="13" style="50" customWidth="1"/>
    <col min="17" max="17" width="11.42578125" style="50" customWidth="1"/>
    <col min="18" max="18" width="12" style="50" customWidth="1"/>
    <col min="19" max="19" width="11.28515625" style="50" customWidth="1"/>
    <col min="20" max="20" width="12.42578125" style="94" customWidth="1"/>
    <col min="21" max="21" width="14.7109375" style="50" customWidth="1"/>
    <col min="22" max="22" width="14.5703125" style="94" customWidth="1"/>
    <col min="23" max="23" width="8.7109375" style="127" customWidth="1"/>
    <col min="24" max="24" width="10.140625" style="50" customWidth="1"/>
    <col min="25" max="25" width="11.7109375" style="50" customWidth="1"/>
    <col min="26" max="26" width="9.28515625" style="50" customWidth="1"/>
    <col min="27" max="28" width="11.7109375" style="50" customWidth="1"/>
    <col min="29" max="29" width="11.5703125" style="50" customWidth="1"/>
    <col min="30" max="30" width="10.28515625" style="50" customWidth="1"/>
    <col min="31" max="31" width="11.85546875" style="50" customWidth="1"/>
    <col min="32" max="32" width="9.5703125" style="50" customWidth="1"/>
    <col min="33" max="33" width="11.85546875" style="50" customWidth="1"/>
    <col min="34" max="34" width="5.5703125" style="267" customWidth="1"/>
    <col min="35" max="35" width="13.5703125" style="267" customWidth="1"/>
    <col min="36" max="36" width="6.7109375" style="127" customWidth="1"/>
    <col min="37" max="37" width="8.85546875" style="50" customWidth="1"/>
    <col min="38" max="38" width="9.7109375" style="50" customWidth="1"/>
    <col min="39" max="39" width="28.85546875" style="50" customWidth="1"/>
    <col min="40" max="40" width="33.7109375" style="50" customWidth="1"/>
    <col min="41" max="42" width="12.7109375" style="127" customWidth="1"/>
    <col min="43" max="43" width="12" style="127" customWidth="1"/>
    <col min="44" max="44" width="13.140625" style="127" customWidth="1"/>
    <col min="45" max="45" width="11.7109375" style="127" customWidth="1"/>
    <col min="46" max="46" width="14" style="127" customWidth="1"/>
    <col min="47" max="47" width="13.140625" style="127" customWidth="1"/>
    <col min="48" max="48" width="14" style="127" customWidth="1"/>
    <col min="49" max="49" width="13.85546875" style="127" customWidth="1"/>
    <col min="50" max="50" width="13.140625" style="127" customWidth="1"/>
    <col min="51" max="51" width="10.5703125" style="127" customWidth="1"/>
    <col min="52" max="52" width="13.140625" style="127" customWidth="1"/>
    <col min="53" max="53" width="11.42578125" style="50"/>
    <col min="54" max="54" width="13.5703125" style="267" customWidth="1"/>
    <col min="55" max="55" width="5.7109375" style="50" customWidth="1"/>
    <col min="56" max="57" width="12.42578125" style="50" customWidth="1"/>
    <col min="58" max="58" width="12.140625" style="50" bestFit="1" customWidth="1"/>
    <col min="59" max="60" width="12.140625" style="50" customWidth="1"/>
    <col min="61" max="61" width="12.5703125" style="50" bestFit="1" customWidth="1"/>
    <col min="62" max="62" width="11.42578125" style="50"/>
    <col min="63" max="63" width="24.7109375" style="50" bestFit="1" customWidth="1"/>
    <col min="64" max="64" width="11.42578125" style="50"/>
    <col min="65" max="65" width="12.5703125" style="50" bestFit="1" customWidth="1"/>
    <col min="66" max="16384" width="11.42578125" style="50"/>
  </cols>
  <sheetData>
    <row r="2" spans="1:177" s="1" customFormat="1" ht="21" customHeight="1" x14ac:dyDescent="0.35">
      <c r="B2" s="2" t="s">
        <v>0</v>
      </c>
      <c r="C2" s="2"/>
      <c r="D2" s="3"/>
      <c r="E2" s="2"/>
      <c r="F2" s="2"/>
      <c r="G2" s="3"/>
      <c r="H2" s="2"/>
      <c r="I2" s="2"/>
      <c r="J2" s="2"/>
      <c r="K2" s="2"/>
      <c r="L2" s="3"/>
      <c r="M2" s="2"/>
      <c r="N2" s="2"/>
      <c r="O2" s="2"/>
      <c r="P2" s="2"/>
      <c r="Q2" s="2"/>
      <c r="R2" s="2"/>
      <c r="S2" s="2"/>
      <c r="T2" s="2"/>
      <c r="U2" s="4"/>
      <c r="V2" s="2"/>
      <c r="W2" s="3"/>
      <c r="X2" s="2"/>
      <c r="Y2" s="2"/>
      <c r="Z2" s="2"/>
      <c r="AA2" s="2"/>
      <c r="AB2" s="2"/>
      <c r="AC2" s="2"/>
      <c r="AD2" s="2"/>
      <c r="AE2" s="2"/>
      <c r="AF2" s="2"/>
      <c r="AG2" s="2"/>
      <c r="AJ2" s="462" t="s">
        <v>1</v>
      </c>
      <c r="AK2" s="462"/>
      <c r="AL2" s="462"/>
      <c r="AM2" s="462"/>
      <c r="AN2" s="462"/>
      <c r="AO2" s="462"/>
      <c r="AP2" s="462"/>
      <c r="AQ2" s="462"/>
      <c r="AR2" s="462"/>
      <c r="AS2" s="462"/>
      <c r="AT2" s="462"/>
      <c r="AU2" s="462"/>
      <c r="AV2" s="462"/>
      <c r="AW2" s="462"/>
      <c r="AX2" s="2"/>
      <c r="AY2" s="2"/>
      <c r="AZ2" s="2"/>
    </row>
    <row r="3" spans="1:177" s="1" customFormat="1" ht="21" customHeight="1" thickBot="1" x14ac:dyDescent="0.4">
      <c r="B3" s="2" t="s">
        <v>2</v>
      </c>
      <c r="C3" s="2"/>
      <c r="D3" s="3"/>
      <c r="E3" s="2"/>
      <c r="F3" s="2"/>
      <c r="G3" s="3"/>
      <c r="H3" s="2"/>
      <c r="I3" s="2"/>
      <c r="J3" s="2"/>
      <c r="K3" s="2"/>
      <c r="L3" s="3"/>
      <c r="M3" s="2"/>
      <c r="N3" s="2"/>
      <c r="O3" s="2"/>
      <c r="P3" s="2"/>
      <c r="Q3" s="2"/>
      <c r="R3" s="2"/>
      <c r="S3" s="2"/>
      <c r="T3" s="2"/>
      <c r="U3" s="4"/>
      <c r="V3" s="2"/>
      <c r="W3" s="3"/>
      <c r="X3" s="2"/>
      <c r="Y3" s="2"/>
      <c r="Z3" s="2"/>
      <c r="AA3" s="2"/>
      <c r="AB3" s="2"/>
      <c r="AC3" s="2"/>
      <c r="AD3" s="2"/>
      <c r="AE3" s="2"/>
      <c r="AF3" s="2"/>
      <c r="AG3" s="2"/>
      <c r="AJ3" s="2" t="s">
        <v>2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</row>
    <row r="4" spans="1:177" s="29" customFormat="1" ht="25.5" customHeight="1" thickBot="1" x14ac:dyDescent="0.25">
      <c r="A4" s="5"/>
      <c r="B4" s="463" t="s">
        <v>3</v>
      </c>
      <c r="C4" s="464"/>
      <c r="D4" s="464"/>
      <c r="E4" s="465"/>
      <c r="F4" s="466" t="s">
        <v>4</v>
      </c>
      <c r="G4" s="7" t="s">
        <v>5</v>
      </c>
      <c r="H4" s="8" t="s">
        <v>6</v>
      </c>
      <c r="I4" s="9" t="s">
        <v>7</v>
      </c>
      <c r="J4" s="9"/>
      <c r="K4" s="9"/>
      <c r="L4" s="9"/>
      <c r="M4" s="10">
        <v>4.0000000000000002E-4</v>
      </c>
      <c r="N4" s="11" t="s">
        <v>8</v>
      </c>
      <c r="O4" s="12" t="s">
        <v>9</v>
      </c>
      <c r="P4" s="12" t="s">
        <v>10</v>
      </c>
      <c r="Q4" s="13" t="s">
        <v>11</v>
      </c>
      <c r="R4" s="12" t="s">
        <v>12</v>
      </c>
      <c r="S4" s="14" t="s">
        <v>11</v>
      </c>
      <c r="T4" s="15" t="s">
        <v>13</v>
      </c>
      <c r="U4" s="16" t="s">
        <v>11</v>
      </c>
      <c r="V4" s="17" t="s">
        <v>12</v>
      </c>
      <c r="W4" s="18" t="s">
        <v>14</v>
      </c>
      <c r="X4" s="19" t="s">
        <v>15</v>
      </c>
      <c r="Y4" s="15" t="s">
        <v>16</v>
      </c>
      <c r="Z4" s="13" t="s">
        <v>17</v>
      </c>
      <c r="AA4" s="20" t="s">
        <v>18</v>
      </c>
      <c r="AB4" s="17" t="s">
        <v>19</v>
      </c>
      <c r="AC4" s="13" t="s">
        <v>20</v>
      </c>
      <c r="AD4" s="13" t="s">
        <v>21</v>
      </c>
      <c r="AE4" s="13" t="s">
        <v>22</v>
      </c>
      <c r="AF4" s="17" t="s">
        <v>23</v>
      </c>
      <c r="AG4" s="12" t="s">
        <v>24</v>
      </c>
      <c r="AH4" s="21"/>
      <c r="AI4" s="21"/>
      <c r="AJ4" s="463" t="s">
        <v>3</v>
      </c>
      <c r="AK4" s="464"/>
      <c r="AL4" s="464"/>
      <c r="AM4" s="465"/>
      <c r="AN4" s="466" t="s">
        <v>4</v>
      </c>
      <c r="AO4" s="22" t="s">
        <v>11</v>
      </c>
      <c r="AP4" s="12" t="s">
        <v>12</v>
      </c>
      <c r="AQ4" s="23" t="s">
        <v>15</v>
      </c>
      <c r="AR4" s="22" t="s">
        <v>16</v>
      </c>
      <c r="AS4" s="22" t="s">
        <v>25</v>
      </c>
      <c r="AT4" s="20" t="s">
        <v>26</v>
      </c>
      <c r="AU4" s="24" t="s">
        <v>27</v>
      </c>
      <c r="AV4" s="23" t="s">
        <v>20</v>
      </c>
      <c r="AW4" s="22" t="s">
        <v>28</v>
      </c>
      <c r="AX4" s="22" t="s">
        <v>29</v>
      </c>
      <c r="AY4" s="25" t="s">
        <v>23</v>
      </c>
      <c r="AZ4" s="24" t="s">
        <v>24</v>
      </c>
      <c r="BA4" s="5"/>
      <c r="BB4" s="26"/>
      <c r="BC4" s="27"/>
      <c r="BD4" s="28"/>
      <c r="BE4" s="28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</row>
    <row r="5" spans="1:177" s="29" customFormat="1" ht="21" customHeight="1" thickBot="1" x14ac:dyDescent="0.25">
      <c r="A5" s="5"/>
      <c r="B5" s="30" t="s">
        <v>30</v>
      </c>
      <c r="C5" s="6" t="s">
        <v>31</v>
      </c>
      <c r="D5" s="31"/>
      <c r="E5" s="32" t="s">
        <v>32</v>
      </c>
      <c r="F5" s="467"/>
      <c r="G5" s="33" t="s">
        <v>33</v>
      </c>
      <c r="H5" s="34">
        <v>45657</v>
      </c>
      <c r="I5" s="35">
        <v>2023</v>
      </c>
      <c r="J5" s="35"/>
      <c r="K5" s="35"/>
      <c r="L5" s="35"/>
      <c r="M5" s="36"/>
      <c r="N5" s="37"/>
      <c r="O5" s="38">
        <v>2024</v>
      </c>
      <c r="P5" s="39" t="s">
        <v>34</v>
      </c>
      <c r="Q5" s="40" t="s">
        <v>35</v>
      </c>
      <c r="R5" s="39" t="s">
        <v>36</v>
      </c>
      <c r="S5" s="41" t="s">
        <v>37</v>
      </c>
      <c r="T5" s="42" t="s">
        <v>38</v>
      </c>
      <c r="U5" s="43" t="s">
        <v>39</v>
      </c>
      <c r="V5" s="41" t="s">
        <v>39</v>
      </c>
      <c r="W5" s="44" t="s">
        <v>15</v>
      </c>
      <c r="X5" s="45" t="s">
        <v>35</v>
      </c>
      <c r="Y5" s="42" t="s">
        <v>35</v>
      </c>
      <c r="Z5" s="40" t="s">
        <v>35</v>
      </c>
      <c r="AA5" s="46" t="s">
        <v>35</v>
      </c>
      <c r="AB5" s="41" t="s">
        <v>35</v>
      </c>
      <c r="AC5" s="40" t="s">
        <v>35</v>
      </c>
      <c r="AD5" s="40" t="s">
        <v>35</v>
      </c>
      <c r="AE5" s="40" t="s">
        <v>35</v>
      </c>
      <c r="AF5" s="41" t="s">
        <v>35</v>
      </c>
      <c r="AG5" s="40" t="s">
        <v>35</v>
      </c>
      <c r="AH5" s="47"/>
      <c r="AI5" s="47"/>
      <c r="AJ5" s="30" t="s">
        <v>30</v>
      </c>
      <c r="AK5" s="6" t="s">
        <v>31</v>
      </c>
      <c r="AL5" s="31"/>
      <c r="AM5" s="32" t="s">
        <v>32</v>
      </c>
      <c r="AN5" s="467"/>
      <c r="AO5" s="40" t="s">
        <v>40</v>
      </c>
      <c r="AP5" s="39" t="s">
        <v>41</v>
      </c>
      <c r="AQ5" s="48" t="s">
        <v>40</v>
      </c>
      <c r="AR5" s="49" t="s">
        <v>40</v>
      </c>
      <c r="AS5" s="49" t="s">
        <v>40</v>
      </c>
      <c r="AT5" s="46" t="s">
        <v>40</v>
      </c>
      <c r="AU5" s="49" t="s">
        <v>40</v>
      </c>
      <c r="AV5" s="48" t="s">
        <v>40</v>
      </c>
      <c r="AW5" s="49" t="s">
        <v>40</v>
      </c>
      <c r="AX5" s="49" t="s">
        <v>40</v>
      </c>
      <c r="AY5" s="48" t="s">
        <v>40</v>
      </c>
      <c r="AZ5" s="49" t="s">
        <v>40</v>
      </c>
      <c r="BA5" s="5"/>
      <c r="BB5" s="26"/>
      <c r="BC5" s="27"/>
      <c r="BD5" s="28"/>
      <c r="BE5" s="28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</row>
    <row r="6" spans="1:177" ht="21" customHeight="1" x14ac:dyDescent="0.2">
      <c r="B6" s="51">
        <v>1</v>
      </c>
      <c r="C6" s="52" t="s">
        <v>42</v>
      </c>
      <c r="D6" s="51">
        <v>25006</v>
      </c>
      <c r="E6" s="53" t="s">
        <v>43</v>
      </c>
      <c r="F6" s="54" t="s">
        <v>44</v>
      </c>
      <c r="G6" s="55">
        <v>44743</v>
      </c>
      <c r="H6" s="56" t="str">
        <f t="shared" ref="H6:H16" si="0" xml:space="preserve"> CONCATENATE(DATEDIF(G6,H$5,"Y")," AÑOS")</f>
        <v>2 AÑOS</v>
      </c>
      <c r="I6" s="57">
        <v>10410.578037015004</v>
      </c>
      <c r="J6" s="58"/>
      <c r="K6" s="58"/>
      <c r="L6" s="59"/>
      <c r="M6" s="60">
        <v>4.0000000000000002E-4</v>
      </c>
      <c r="N6" s="61">
        <f t="shared" ref="N6:N16" si="1">I6*0.04</f>
        <v>416.42312148060017</v>
      </c>
      <c r="O6" s="58">
        <f t="shared" ref="O6:O16" si="2">I6+N6</f>
        <v>10827.001158495605</v>
      </c>
      <c r="P6" s="61">
        <f t="shared" ref="P6:P16" si="3">O6*2</f>
        <v>21654.002316991209</v>
      </c>
      <c r="Q6" s="61">
        <f t="shared" ref="Q6:Q16" si="4">P6*0.75</f>
        <v>16240.501737743407</v>
      </c>
      <c r="R6" s="61">
        <f t="shared" ref="R6:R16" si="5">P6*0.25</f>
        <v>5413.5005792478023</v>
      </c>
      <c r="S6" s="61">
        <f t="shared" ref="S6:S16" si="6">(P6/30)</f>
        <v>721.80007723304027</v>
      </c>
      <c r="T6" s="58">
        <f t="shared" ref="T6:T16" si="7">S6*1.1479</f>
        <v>828.55430865580684</v>
      </c>
      <c r="U6" s="61">
        <f t="shared" ref="U6:U16" si="8">O6*0.75</f>
        <v>8120.2508688717035</v>
      </c>
      <c r="V6" s="58">
        <f t="shared" ref="V6:V16" si="9">O6*0.25</f>
        <v>2706.7502896239012</v>
      </c>
      <c r="W6" s="62">
        <v>0</v>
      </c>
      <c r="X6" s="63">
        <f t="shared" ref="X6:X16" si="10">P6*W6</f>
        <v>0</v>
      </c>
      <c r="Y6" s="61">
        <v>1822.8472191819917</v>
      </c>
      <c r="Z6" s="61">
        <v>0</v>
      </c>
      <c r="AA6" s="61">
        <f t="shared" ref="AA6:AA16" si="11">(S6*45)/12</f>
        <v>2706.7502896239012</v>
      </c>
      <c r="AB6" s="61">
        <f t="shared" ref="AB6:AB16" si="12">(S6*10)*(0.45*2)/12</f>
        <v>541.35005792478023</v>
      </c>
      <c r="AC6" s="61">
        <v>3202.3555229363374</v>
      </c>
      <c r="AD6" s="61">
        <v>2171.6822707023025</v>
      </c>
      <c r="AE6" s="61">
        <v>1284.2591784165006</v>
      </c>
      <c r="AF6" s="61">
        <v>0</v>
      </c>
      <c r="AG6" s="61">
        <f t="shared" ref="AG6:AG16" si="13">(P6+AA6+AB6)*0.03</f>
        <v>747.0630799361968</v>
      </c>
      <c r="AH6" s="64"/>
      <c r="AI6" s="64"/>
      <c r="AJ6" s="51">
        <v>1</v>
      </c>
      <c r="AK6" s="52" t="s">
        <v>42</v>
      </c>
      <c r="AL6" s="51">
        <v>25006</v>
      </c>
      <c r="AM6" s="53" t="s">
        <v>43</v>
      </c>
      <c r="AN6" s="54" t="s">
        <v>44</v>
      </c>
      <c r="AO6" s="65">
        <f t="shared" ref="AO6:AP9" si="14">Q6*12</f>
        <v>194886.02085292089</v>
      </c>
      <c r="AP6" s="65">
        <f t="shared" si="14"/>
        <v>64962.006950973628</v>
      </c>
      <c r="AQ6" s="65">
        <f t="shared" ref="AQ6:AZ9" si="15">X6*12</f>
        <v>0</v>
      </c>
      <c r="AR6" s="65">
        <f t="shared" si="15"/>
        <v>21874.1666301839</v>
      </c>
      <c r="AS6" s="65">
        <f t="shared" si="15"/>
        <v>0</v>
      </c>
      <c r="AT6" s="65">
        <f t="shared" si="15"/>
        <v>32481.003475486814</v>
      </c>
      <c r="AU6" s="65">
        <f t="shared" si="15"/>
        <v>6496.2006950973628</v>
      </c>
      <c r="AV6" s="65">
        <f t="shared" si="15"/>
        <v>38428.266275236048</v>
      </c>
      <c r="AW6" s="65">
        <f t="shared" si="15"/>
        <v>26060.187248427632</v>
      </c>
      <c r="AX6" s="65">
        <f t="shared" si="15"/>
        <v>15411.110140998007</v>
      </c>
      <c r="AY6" s="65">
        <f t="shared" si="15"/>
        <v>0</v>
      </c>
      <c r="AZ6" s="65">
        <f t="shared" si="15"/>
        <v>8964.7569592343607</v>
      </c>
      <c r="BB6" s="64"/>
      <c r="BC6" s="66"/>
      <c r="BD6" s="66"/>
      <c r="BE6" s="66"/>
    </row>
    <row r="7" spans="1:177" s="364" customFormat="1" ht="21" customHeight="1" x14ac:dyDescent="0.2">
      <c r="B7" s="365">
        <v>2</v>
      </c>
      <c r="C7" s="366" t="s">
        <v>42</v>
      </c>
      <c r="D7" s="365">
        <v>1091</v>
      </c>
      <c r="E7" s="367" t="s">
        <v>45</v>
      </c>
      <c r="F7" s="69" t="s">
        <v>46</v>
      </c>
      <c r="G7" s="362">
        <v>43430</v>
      </c>
      <c r="H7" s="56" t="str">
        <f t="shared" si="0"/>
        <v>6 AÑOS</v>
      </c>
      <c r="I7" s="57">
        <v>10410.694809711562</v>
      </c>
      <c r="J7" s="58"/>
      <c r="K7" s="58"/>
      <c r="L7" s="59"/>
      <c r="M7" s="60">
        <v>4.0000000000000002E-4</v>
      </c>
      <c r="N7" s="61">
        <f t="shared" si="1"/>
        <v>416.42779238846248</v>
      </c>
      <c r="O7" s="58">
        <f t="shared" si="2"/>
        <v>10827.122602100024</v>
      </c>
      <c r="P7" s="61">
        <f t="shared" si="3"/>
        <v>21654.245204200048</v>
      </c>
      <c r="Q7" s="61">
        <f t="shared" si="4"/>
        <v>16240.683903150035</v>
      </c>
      <c r="R7" s="61">
        <f t="shared" si="5"/>
        <v>5413.5613010500119</v>
      </c>
      <c r="S7" s="61">
        <f t="shared" si="6"/>
        <v>721.80817347333493</v>
      </c>
      <c r="T7" s="58">
        <f t="shared" si="7"/>
        <v>828.56360233004114</v>
      </c>
      <c r="U7" s="61">
        <f t="shared" si="8"/>
        <v>8120.3419515750174</v>
      </c>
      <c r="V7" s="58">
        <f t="shared" si="9"/>
        <v>2706.780650525006</v>
      </c>
      <c r="W7" s="62">
        <v>0</v>
      </c>
      <c r="X7" s="63">
        <f t="shared" si="10"/>
        <v>0</v>
      </c>
      <c r="Y7" s="61">
        <v>1822.8861297128476</v>
      </c>
      <c r="Z7" s="61">
        <v>0</v>
      </c>
      <c r="AA7" s="61">
        <f t="shared" si="11"/>
        <v>2706.780650525006</v>
      </c>
      <c r="AB7" s="61">
        <f t="shared" si="12"/>
        <v>541.35613010500117</v>
      </c>
      <c r="AC7" s="61">
        <v>3202.3852916464703</v>
      </c>
      <c r="AD7" s="61">
        <v>2171.7066298871546</v>
      </c>
      <c r="AE7" s="61">
        <v>1284.2735836115639</v>
      </c>
      <c r="AF7" s="61">
        <v>0</v>
      </c>
      <c r="AG7" s="61">
        <f t="shared" si="13"/>
        <v>747.07145954490147</v>
      </c>
      <c r="AH7" s="64"/>
      <c r="AI7" s="64"/>
      <c r="AJ7" s="365">
        <v>2</v>
      </c>
      <c r="AK7" s="366" t="s">
        <v>42</v>
      </c>
      <c r="AL7" s="365">
        <v>1091</v>
      </c>
      <c r="AM7" s="367" t="s">
        <v>45</v>
      </c>
      <c r="AN7" s="69" t="s">
        <v>46</v>
      </c>
      <c r="AO7" s="368">
        <f t="shared" si="14"/>
        <v>194888.20683780042</v>
      </c>
      <c r="AP7" s="368">
        <f t="shared" si="14"/>
        <v>64962.73561260014</v>
      </c>
      <c r="AQ7" s="368">
        <f t="shared" si="15"/>
        <v>0</v>
      </c>
      <c r="AR7" s="368">
        <f t="shared" si="15"/>
        <v>21874.63355655417</v>
      </c>
      <c r="AS7" s="368">
        <f t="shared" si="15"/>
        <v>0</v>
      </c>
      <c r="AT7" s="368">
        <f t="shared" si="15"/>
        <v>32481.36780630007</v>
      </c>
      <c r="AU7" s="368">
        <f t="shared" si="15"/>
        <v>6496.2735612600136</v>
      </c>
      <c r="AV7" s="368">
        <f t="shared" si="15"/>
        <v>38428.623499757639</v>
      </c>
      <c r="AW7" s="368">
        <f t="shared" si="15"/>
        <v>26060.479558645857</v>
      </c>
      <c r="AX7" s="368">
        <f t="shared" si="15"/>
        <v>15411.283003338767</v>
      </c>
      <c r="AY7" s="368">
        <f t="shared" si="15"/>
        <v>0</v>
      </c>
      <c r="AZ7" s="368">
        <f t="shared" si="15"/>
        <v>8964.8575145388168</v>
      </c>
      <c r="BB7" s="64"/>
      <c r="BC7" s="66"/>
      <c r="BD7" s="66"/>
      <c r="BE7" s="66"/>
    </row>
    <row r="8" spans="1:177" s="364" customFormat="1" ht="21" customHeight="1" x14ac:dyDescent="0.2">
      <c r="B8" s="369">
        <v>3</v>
      </c>
      <c r="C8" s="370" t="s">
        <v>42</v>
      </c>
      <c r="D8" s="365">
        <v>14087</v>
      </c>
      <c r="E8" s="367" t="s">
        <v>47</v>
      </c>
      <c r="F8" s="371" t="s">
        <v>48</v>
      </c>
      <c r="G8" s="362">
        <v>43430</v>
      </c>
      <c r="H8" s="56" t="str">
        <f t="shared" si="0"/>
        <v>6 AÑOS</v>
      </c>
      <c r="I8" s="57">
        <v>13300.058758279083</v>
      </c>
      <c r="J8" s="58"/>
      <c r="K8" s="58"/>
      <c r="L8" s="59"/>
      <c r="M8" s="60">
        <v>4.0000000000000002E-4</v>
      </c>
      <c r="N8" s="61">
        <f t="shared" si="1"/>
        <v>532.00235033116337</v>
      </c>
      <c r="O8" s="58">
        <f t="shared" si="2"/>
        <v>13832.061108610247</v>
      </c>
      <c r="P8" s="61">
        <f t="shared" si="3"/>
        <v>27664.122217220494</v>
      </c>
      <c r="Q8" s="61">
        <f t="shared" si="4"/>
        <v>20748.091662915373</v>
      </c>
      <c r="R8" s="61">
        <f t="shared" si="5"/>
        <v>6916.0305543051236</v>
      </c>
      <c r="S8" s="61">
        <f t="shared" si="6"/>
        <v>922.13740724068316</v>
      </c>
      <c r="T8" s="58">
        <f t="shared" si="7"/>
        <v>1058.5215297715802</v>
      </c>
      <c r="U8" s="61">
        <f t="shared" si="8"/>
        <v>10374.045831457686</v>
      </c>
      <c r="V8" s="58">
        <f t="shared" si="9"/>
        <v>3458.0152771525618</v>
      </c>
      <c r="W8" s="62">
        <v>0</v>
      </c>
      <c r="X8" s="63">
        <f t="shared" si="10"/>
        <v>0</v>
      </c>
      <c r="Y8" s="61">
        <v>2785.6684271987237</v>
      </c>
      <c r="Z8" s="61">
        <v>0</v>
      </c>
      <c r="AA8" s="61">
        <f t="shared" si="11"/>
        <v>3458.0152771525622</v>
      </c>
      <c r="AB8" s="61">
        <f t="shared" si="12"/>
        <v>691.60305543051243</v>
      </c>
      <c r="AC8" s="61">
        <v>3938.9670473907545</v>
      </c>
      <c r="AD8" s="61">
        <v>2774.4378556078</v>
      </c>
      <c r="AE8" s="61">
        <v>1640.7083711459495</v>
      </c>
      <c r="AF8" s="61">
        <v>0</v>
      </c>
      <c r="AG8" s="61">
        <f t="shared" si="13"/>
        <v>954.41221649410693</v>
      </c>
      <c r="AH8" s="64"/>
      <c r="AI8" s="64"/>
      <c r="AJ8" s="369">
        <v>3</v>
      </c>
      <c r="AK8" s="370" t="s">
        <v>42</v>
      </c>
      <c r="AL8" s="365">
        <v>14087</v>
      </c>
      <c r="AM8" s="367" t="s">
        <v>47</v>
      </c>
      <c r="AN8" s="371" t="s">
        <v>48</v>
      </c>
      <c r="AO8" s="368">
        <f t="shared" si="14"/>
        <v>248977.09995498447</v>
      </c>
      <c r="AP8" s="368">
        <f t="shared" si="14"/>
        <v>82992.36665166149</v>
      </c>
      <c r="AQ8" s="368">
        <f t="shared" si="15"/>
        <v>0</v>
      </c>
      <c r="AR8" s="368">
        <f t="shared" si="15"/>
        <v>33428.021126384687</v>
      </c>
      <c r="AS8" s="368">
        <f t="shared" si="15"/>
        <v>0</v>
      </c>
      <c r="AT8" s="368">
        <f t="shared" si="15"/>
        <v>41496.183325830745</v>
      </c>
      <c r="AU8" s="368">
        <f t="shared" si="15"/>
        <v>8299.2366651661487</v>
      </c>
      <c r="AV8" s="368">
        <f t="shared" si="15"/>
        <v>47267.604568689057</v>
      </c>
      <c r="AW8" s="368">
        <f t="shared" si="15"/>
        <v>33293.254267293596</v>
      </c>
      <c r="AX8" s="368">
        <f t="shared" si="15"/>
        <v>19688.500453751396</v>
      </c>
      <c r="AY8" s="368">
        <f t="shared" si="15"/>
        <v>0</v>
      </c>
      <c r="AZ8" s="368">
        <f t="shared" si="15"/>
        <v>11452.946597929284</v>
      </c>
      <c r="BB8" s="64"/>
      <c r="BC8" s="66"/>
      <c r="BD8" s="66"/>
      <c r="BE8" s="66"/>
    </row>
    <row r="9" spans="1:177" s="364" customFormat="1" ht="21" customHeight="1" x14ac:dyDescent="0.2">
      <c r="B9" s="369">
        <v>4</v>
      </c>
      <c r="C9" s="366" t="s">
        <v>42</v>
      </c>
      <c r="D9" s="365">
        <v>1094</v>
      </c>
      <c r="E9" s="372" t="s">
        <v>49</v>
      </c>
      <c r="F9" s="371" t="s">
        <v>50</v>
      </c>
      <c r="G9" s="55">
        <v>43466</v>
      </c>
      <c r="H9" s="56" t="str">
        <f t="shared" si="0"/>
        <v>5 AÑOS</v>
      </c>
      <c r="I9" s="57">
        <v>13288.341830399999</v>
      </c>
      <c r="J9" s="57"/>
      <c r="K9" s="57"/>
      <c r="L9" s="74"/>
      <c r="M9" s="60">
        <v>4.0000000000000002E-4</v>
      </c>
      <c r="N9" s="61">
        <f t="shared" si="1"/>
        <v>531.53367321600001</v>
      </c>
      <c r="O9" s="58">
        <f t="shared" si="2"/>
        <v>13819.875503615998</v>
      </c>
      <c r="P9" s="61">
        <f t="shared" si="3"/>
        <v>27639.751007231996</v>
      </c>
      <c r="Q9" s="61">
        <f t="shared" si="4"/>
        <v>20729.813255423996</v>
      </c>
      <c r="R9" s="61">
        <f t="shared" si="5"/>
        <v>6909.9377518079991</v>
      </c>
      <c r="S9" s="61">
        <f t="shared" si="6"/>
        <v>921.32503357439987</v>
      </c>
      <c r="T9" s="58">
        <f t="shared" si="7"/>
        <v>1057.5890060400536</v>
      </c>
      <c r="U9" s="61">
        <f t="shared" si="8"/>
        <v>10364.906627711998</v>
      </c>
      <c r="V9" s="58">
        <f t="shared" si="9"/>
        <v>3454.9688759039996</v>
      </c>
      <c r="W9" s="62">
        <v>0</v>
      </c>
      <c r="X9" s="63">
        <f t="shared" si="10"/>
        <v>0</v>
      </c>
      <c r="Y9" s="61">
        <v>2781.7641593585658</v>
      </c>
      <c r="Z9" s="61">
        <v>0</v>
      </c>
      <c r="AA9" s="61">
        <f t="shared" si="11"/>
        <v>3454.9688759039996</v>
      </c>
      <c r="AB9" s="61">
        <f t="shared" si="12"/>
        <v>690.99377518079984</v>
      </c>
      <c r="AC9" s="61">
        <v>3935.980066358688</v>
      </c>
      <c r="AD9" s="61">
        <v>2771.9936642812822</v>
      </c>
      <c r="AE9" s="61">
        <v>1639.2629593620832</v>
      </c>
      <c r="AF9" s="61">
        <v>0</v>
      </c>
      <c r="AG9" s="61">
        <f t="shared" si="13"/>
        <v>953.5714097495038</v>
      </c>
      <c r="AH9" s="64"/>
      <c r="AI9" s="64"/>
      <c r="AJ9" s="369">
        <v>4</v>
      </c>
      <c r="AK9" s="366" t="s">
        <v>42</v>
      </c>
      <c r="AL9" s="365">
        <v>1094</v>
      </c>
      <c r="AM9" s="372" t="s">
        <v>49</v>
      </c>
      <c r="AN9" s="371" t="s">
        <v>50</v>
      </c>
      <c r="AO9" s="368">
        <f t="shared" si="14"/>
        <v>248757.75906508794</v>
      </c>
      <c r="AP9" s="368">
        <f t="shared" si="14"/>
        <v>82919.253021695986</v>
      </c>
      <c r="AQ9" s="368">
        <f t="shared" si="15"/>
        <v>0</v>
      </c>
      <c r="AR9" s="368">
        <f t="shared" si="15"/>
        <v>33381.169912302794</v>
      </c>
      <c r="AS9" s="368">
        <f t="shared" si="15"/>
        <v>0</v>
      </c>
      <c r="AT9" s="368">
        <f t="shared" si="15"/>
        <v>41459.626510847993</v>
      </c>
      <c r="AU9" s="368">
        <f t="shared" si="15"/>
        <v>8291.9253021695986</v>
      </c>
      <c r="AV9" s="368">
        <f t="shared" si="15"/>
        <v>47231.760796304254</v>
      </c>
      <c r="AW9" s="368">
        <f t="shared" si="15"/>
        <v>33263.923971375385</v>
      </c>
      <c r="AX9" s="368">
        <f t="shared" si="15"/>
        <v>19671.155512344998</v>
      </c>
      <c r="AY9" s="368">
        <f t="shared" si="15"/>
        <v>0</v>
      </c>
      <c r="AZ9" s="368">
        <f t="shared" si="15"/>
        <v>11442.856916994046</v>
      </c>
      <c r="BB9" s="64"/>
      <c r="BC9" s="66"/>
      <c r="BD9" s="66"/>
      <c r="BE9" s="66"/>
    </row>
    <row r="10" spans="1:177" s="364" customFormat="1" ht="21" customHeight="1" x14ac:dyDescent="0.2">
      <c r="B10" s="365">
        <v>5</v>
      </c>
      <c r="C10" s="366" t="s">
        <v>42</v>
      </c>
      <c r="D10" s="365">
        <v>1108</v>
      </c>
      <c r="E10" s="372" t="s">
        <v>51</v>
      </c>
      <c r="F10" s="372" t="s">
        <v>52</v>
      </c>
      <c r="G10" s="55">
        <v>44562</v>
      </c>
      <c r="H10" s="56" t="str">
        <f t="shared" si="0"/>
        <v>2 AÑOS</v>
      </c>
      <c r="I10" s="57">
        <v>12791.962101726789</v>
      </c>
      <c r="J10" s="75"/>
      <c r="K10" s="58"/>
      <c r="L10" s="59"/>
      <c r="M10" s="60">
        <v>4.0000000000000002E-4</v>
      </c>
      <c r="N10" s="61">
        <f t="shared" si="1"/>
        <v>511.6784840690716</v>
      </c>
      <c r="O10" s="58">
        <f t="shared" si="2"/>
        <v>13303.64058579586</v>
      </c>
      <c r="P10" s="61">
        <f t="shared" si="3"/>
        <v>26607.28117159172</v>
      </c>
      <c r="Q10" s="61">
        <f t="shared" si="4"/>
        <v>19955.46087869379</v>
      </c>
      <c r="R10" s="61">
        <f t="shared" si="5"/>
        <v>6651.8202928979299</v>
      </c>
      <c r="S10" s="61">
        <f t="shared" si="6"/>
        <v>886.9093723863906</v>
      </c>
      <c r="T10" s="58">
        <f t="shared" si="7"/>
        <v>1018.0832685623377</v>
      </c>
      <c r="U10" s="61">
        <f t="shared" si="8"/>
        <v>9977.7304393468949</v>
      </c>
      <c r="V10" s="58">
        <f t="shared" si="9"/>
        <v>3325.910146448965</v>
      </c>
      <c r="W10" s="62">
        <v>0</v>
      </c>
      <c r="X10" s="63">
        <f t="shared" si="10"/>
        <v>0</v>
      </c>
      <c r="Y10" s="61">
        <v>2616.3624916889935</v>
      </c>
      <c r="Z10" s="61">
        <v>0</v>
      </c>
      <c r="AA10" s="61">
        <f t="shared" si="11"/>
        <v>3325.910146448965</v>
      </c>
      <c r="AB10" s="61">
        <f t="shared" si="12"/>
        <v>665.18202928979292</v>
      </c>
      <c r="AC10" s="61">
        <v>3809.4386342060325</v>
      </c>
      <c r="AD10" s="61">
        <v>2668.4471510653152</v>
      </c>
      <c r="AE10" s="61">
        <v>1578.0290662716234</v>
      </c>
      <c r="AF10" s="61">
        <v>0</v>
      </c>
      <c r="AG10" s="61">
        <f t="shared" si="13"/>
        <v>917.95120041991436</v>
      </c>
      <c r="AH10" s="64"/>
      <c r="AI10" s="64"/>
      <c r="AJ10" s="365">
        <v>5</v>
      </c>
      <c r="AK10" s="366" t="s">
        <v>42</v>
      </c>
      <c r="AL10" s="365">
        <v>1108</v>
      </c>
      <c r="AM10" s="372" t="s">
        <v>51</v>
      </c>
      <c r="AN10" s="372" t="s">
        <v>52</v>
      </c>
      <c r="AO10" s="368">
        <f>Q10*10</f>
        <v>199554.6087869379</v>
      </c>
      <c r="AP10" s="368">
        <f>R10*10</f>
        <v>66518.202928979299</v>
      </c>
      <c r="AQ10" s="368">
        <f t="shared" ref="AQ10:AZ10" si="16">X10*10</f>
        <v>0</v>
      </c>
      <c r="AR10" s="368">
        <f t="shared" si="16"/>
        <v>26163.624916889934</v>
      </c>
      <c r="AS10" s="368">
        <f t="shared" si="16"/>
        <v>0</v>
      </c>
      <c r="AT10" s="368">
        <f t="shared" si="16"/>
        <v>33259.10146448965</v>
      </c>
      <c r="AU10" s="368">
        <f t="shared" si="16"/>
        <v>6651.820292897929</v>
      </c>
      <c r="AV10" s="368">
        <f t="shared" si="16"/>
        <v>38094.386342060323</v>
      </c>
      <c r="AW10" s="368">
        <f t="shared" si="16"/>
        <v>26684.471510653151</v>
      </c>
      <c r="AX10" s="368">
        <f t="shared" si="16"/>
        <v>15780.290662716234</v>
      </c>
      <c r="AY10" s="368">
        <f t="shared" si="16"/>
        <v>0</v>
      </c>
      <c r="AZ10" s="368">
        <f t="shared" si="16"/>
        <v>9179.5120041991431</v>
      </c>
      <c r="BB10" s="64"/>
      <c r="BC10" s="66"/>
      <c r="BD10" s="66"/>
      <c r="BE10" s="66"/>
    </row>
    <row r="11" spans="1:177" s="364" customFormat="1" ht="21" customHeight="1" x14ac:dyDescent="0.2">
      <c r="B11" s="369">
        <v>6</v>
      </c>
      <c r="C11" s="370" t="s">
        <v>42</v>
      </c>
      <c r="D11" s="365">
        <v>1109</v>
      </c>
      <c r="E11" s="372" t="s">
        <v>53</v>
      </c>
      <c r="F11" s="373" t="s">
        <v>54</v>
      </c>
      <c r="G11" s="55">
        <v>44562</v>
      </c>
      <c r="H11" s="56" t="str">
        <f t="shared" si="0"/>
        <v>2 AÑOS</v>
      </c>
      <c r="I11" s="57">
        <v>12791.962101726789</v>
      </c>
      <c r="J11" s="372"/>
      <c r="K11" s="58"/>
      <c r="L11" s="59"/>
      <c r="M11" s="60">
        <v>4.0000000000000002E-4</v>
      </c>
      <c r="N11" s="61">
        <f t="shared" si="1"/>
        <v>511.6784840690716</v>
      </c>
      <c r="O11" s="58">
        <f t="shared" si="2"/>
        <v>13303.64058579586</v>
      </c>
      <c r="P11" s="61">
        <f t="shared" si="3"/>
        <v>26607.28117159172</v>
      </c>
      <c r="Q11" s="61">
        <f t="shared" si="4"/>
        <v>19955.46087869379</v>
      </c>
      <c r="R11" s="61">
        <f t="shared" si="5"/>
        <v>6651.8202928979299</v>
      </c>
      <c r="S11" s="61">
        <f t="shared" si="6"/>
        <v>886.9093723863906</v>
      </c>
      <c r="T11" s="58">
        <f t="shared" si="7"/>
        <v>1018.0832685623377</v>
      </c>
      <c r="U11" s="61">
        <f t="shared" si="8"/>
        <v>9977.7304393468949</v>
      </c>
      <c r="V11" s="58">
        <f t="shared" si="9"/>
        <v>3325.910146448965</v>
      </c>
      <c r="W11" s="62">
        <v>0</v>
      </c>
      <c r="X11" s="63">
        <f t="shared" si="10"/>
        <v>0</v>
      </c>
      <c r="Y11" s="61">
        <v>2616.3624916889935</v>
      </c>
      <c r="Z11" s="61">
        <v>0</v>
      </c>
      <c r="AA11" s="61">
        <f t="shared" si="11"/>
        <v>3325.910146448965</v>
      </c>
      <c r="AB11" s="61">
        <f t="shared" si="12"/>
        <v>665.18202928979292</v>
      </c>
      <c r="AC11" s="61">
        <v>3809.4386342060325</v>
      </c>
      <c r="AD11" s="61">
        <v>2668.4471510653152</v>
      </c>
      <c r="AE11" s="61">
        <v>1578.0290662716234</v>
      </c>
      <c r="AF11" s="61">
        <v>0</v>
      </c>
      <c r="AG11" s="61">
        <f t="shared" si="13"/>
        <v>917.95120041991436</v>
      </c>
      <c r="AH11" s="64"/>
      <c r="AI11" s="64"/>
      <c r="AJ11" s="369">
        <v>6</v>
      </c>
      <c r="AK11" s="370" t="s">
        <v>42</v>
      </c>
      <c r="AL11" s="365">
        <v>1109</v>
      </c>
      <c r="AM11" s="372" t="s">
        <v>53</v>
      </c>
      <c r="AN11" s="373" t="s">
        <v>54</v>
      </c>
      <c r="AO11" s="368">
        <f>Q11*12</f>
        <v>239465.53054432548</v>
      </c>
      <c r="AP11" s="368">
        <f>R11*12</f>
        <v>79821.843514775159</v>
      </c>
      <c r="AQ11" s="368">
        <f t="shared" ref="AQ11:AZ11" si="17">X11*12</f>
        <v>0</v>
      </c>
      <c r="AR11" s="368">
        <f t="shared" si="17"/>
        <v>31396.349900267924</v>
      </c>
      <c r="AS11" s="368">
        <f t="shared" si="17"/>
        <v>0</v>
      </c>
      <c r="AT11" s="368">
        <f t="shared" si="17"/>
        <v>39910.921757387579</v>
      </c>
      <c r="AU11" s="368">
        <f t="shared" si="17"/>
        <v>7982.1843514775155</v>
      </c>
      <c r="AV11" s="368">
        <f t="shared" si="17"/>
        <v>45713.263610472393</v>
      </c>
      <c r="AW11" s="368">
        <f t="shared" si="17"/>
        <v>32021.365812783784</v>
      </c>
      <c r="AX11" s="368">
        <f t="shared" si="17"/>
        <v>18936.348795259481</v>
      </c>
      <c r="AY11" s="368">
        <f t="shared" si="17"/>
        <v>0</v>
      </c>
      <c r="AZ11" s="368">
        <f t="shared" si="17"/>
        <v>11015.414405038973</v>
      </c>
      <c r="BB11" s="64"/>
      <c r="BC11" s="66"/>
      <c r="BD11" s="66"/>
      <c r="BE11" s="66"/>
    </row>
    <row r="12" spans="1:177" s="364" customFormat="1" ht="21" customHeight="1" x14ac:dyDescent="0.2">
      <c r="B12" s="369">
        <v>7</v>
      </c>
      <c r="C12" s="370" t="s">
        <v>42</v>
      </c>
      <c r="D12" s="374"/>
      <c r="E12" s="375" t="s">
        <v>55</v>
      </c>
      <c r="F12" s="371" t="s">
        <v>56</v>
      </c>
      <c r="G12" s="365"/>
      <c r="H12" s="56"/>
      <c r="I12" s="57">
        <v>9786.2559262631657</v>
      </c>
      <c r="J12" s="58"/>
      <c r="K12" s="58"/>
      <c r="L12" s="59"/>
      <c r="M12" s="60">
        <v>4.0000000000000002E-4</v>
      </c>
      <c r="N12" s="61">
        <f t="shared" si="1"/>
        <v>391.45023705052665</v>
      </c>
      <c r="O12" s="58">
        <f t="shared" si="2"/>
        <v>10177.706163313693</v>
      </c>
      <c r="P12" s="61">
        <f t="shared" si="3"/>
        <v>20355.412326627385</v>
      </c>
      <c r="Q12" s="61">
        <f t="shared" si="4"/>
        <v>15266.55924497054</v>
      </c>
      <c r="R12" s="61">
        <f t="shared" si="5"/>
        <v>5088.8530816568464</v>
      </c>
      <c r="S12" s="61">
        <f t="shared" si="6"/>
        <v>678.51374422091283</v>
      </c>
      <c r="T12" s="58">
        <f t="shared" si="7"/>
        <v>778.8659269911858</v>
      </c>
      <c r="U12" s="61">
        <f t="shared" si="8"/>
        <v>7633.27962248527</v>
      </c>
      <c r="V12" s="58">
        <f t="shared" si="9"/>
        <v>2544.4265408284232</v>
      </c>
      <c r="W12" s="62">
        <v>0</v>
      </c>
      <c r="X12" s="63">
        <f t="shared" si="10"/>
        <v>0</v>
      </c>
      <c r="Y12" s="61">
        <v>1615.4683126987206</v>
      </c>
      <c r="Z12" s="61">
        <v>0</v>
      </c>
      <c r="AA12" s="61">
        <f t="shared" si="11"/>
        <v>2544.4265408284232</v>
      </c>
      <c r="AB12" s="61">
        <f t="shared" si="12"/>
        <v>508.88530816568465</v>
      </c>
      <c r="AC12" s="61">
        <v>3043.1979073941507</v>
      </c>
      <c r="AD12" s="61">
        <v>2041.4465379402477</v>
      </c>
      <c r="AE12" s="61">
        <v>1207.2421868363381</v>
      </c>
      <c r="AF12" s="61">
        <v>0</v>
      </c>
      <c r="AG12" s="61">
        <f t="shared" si="13"/>
        <v>702.2617252686448</v>
      </c>
      <c r="AH12" s="64"/>
      <c r="AI12" s="64"/>
      <c r="AJ12" s="369">
        <v>7</v>
      </c>
      <c r="AK12" s="370" t="s">
        <v>42</v>
      </c>
      <c r="AL12" s="374"/>
      <c r="AM12" s="375" t="s">
        <v>55</v>
      </c>
      <c r="AN12" s="371" t="s">
        <v>56</v>
      </c>
      <c r="AO12" s="368">
        <f>Q12*10</f>
        <v>152665.59244970541</v>
      </c>
      <c r="AP12" s="368">
        <f>R12*10</f>
        <v>50888.530816568462</v>
      </c>
      <c r="AQ12" s="368">
        <f t="shared" ref="AQ12:AZ12" si="18">X12*10</f>
        <v>0</v>
      </c>
      <c r="AR12" s="368">
        <f t="shared" si="18"/>
        <v>16154.683126987205</v>
      </c>
      <c r="AS12" s="368">
        <f t="shared" si="18"/>
        <v>0</v>
      </c>
      <c r="AT12" s="368">
        <f t="shared" si="18"/>
        <v>25444.265408284231</v>
      </c>
      <c r="AU12" s="368">
        <f t="shared" si="18"/>
        <v>5088.8530816568464</v>
      </c>
      <c r="AV12" s="368">
        <f t="shared" si="18"/>
        <v>30431.979073941508</v>
      </c>
      <c r="AW12" s="368">
        <f t="shared" si="18"/>
        <v>20414.465379402478</v>
      </c>
      <c r="AX12" s="368">
        <f t="shared" si="18"/>
        <v>12072.421868363381</v>
      </c>
      <c r="AY12" s="368">
        <f t="shared" si="18"/>
        <v>0</v>
      </c>
      <c r="AZ12" s="368">
        <f t="shared" si="18"/>
        <v>7022.6172526864484</v>
      </c>
      <c r="BB12" s="64"/>
      <c r="BC12" s="66"/>
      <c r="BD12" s="66"/>
      <c r="BE12" s="66"/>
    </row>
    <row r="13" spans="1:177" s="364" customFormat="1" ht="21" customHeight="1" x14ac:dyDescent="0.2">
      <c r="B13" s="365">
        <v>8</v>
      </c>
      <c r="C13" s="376" t="s">
        <v>42</v>
      </c>
      <c r="D13" s="377">
        <v>7065</v>
      </c>
      <c r="E13" s="371" t="s">
        <v>57</v>
      </c>
      <c r="F13" s="79" t="s">
        <v>58</v>
      </c>
      <c r="G13" s="55">
        <v>43435</v>
      </c>
      <c r="H13" s="56" t="str">
        <f t="shared" si="0"/>
        <v>6 AÑOS</v>
      </c>
      <c r="I13" s="57">
        <v>14000.706524419227</v>
      </c>
      <c r="J13" s="58"/>
      <c r="K13" s="58"/>
      <c r="L13" s="59"/>
      <c r="M13" s="60">
        <v>4.0000000000000002E-4</v>
      </c>
      <c r="N13" s="61">
        <f t="shared" si="1"/>
        <v>560.02826097676905</v>
      </c>
      <c r="O13" s="58">
        <f t="shared" si="2"/>
        <v>14560.734785395996</v>
      </c>
      <c r="P13" s="61">
        <f t="shared" si="3"/>
        <v>29121.469570791993</v>
      </c>
      <c r="Q13" s="61">
        <f t="shared" si="4"/>
        <v>21841.102178093995</v>
      </c>
      <c r="R13" s="61">
        <f t="shared" si="5"/>
        <v>7280.3673926979982</v>
      </c>
      <c r="S13" s="61">
        <f t="shared" si="6"/>
        <v>970.7156523597331</v>
      </c>
      <c r="T13" s="58">
        <f t="shared" si="7"/>
        <v>1114.2844973437375</v>
      </c>
      <c r="U13" s="61">
        <f t="shared" si="8"/>
        <v>10920.551089046998</v>
      </c>
      <c r="V13" s="58">
        <f t="shared" si="9"/>
        <v>3640.1836963489991</v>
      </c>
      <c r="W13" s="62">
        <v>0</v>
      </c>
      <c r="X13" s="63">
        <f t="shared" si="10"/>
        <v>0</v>
      </c>
      <c r="Y13" s="61">
        <v>3019.1354732408777</v>
      </c>
      <c r="Z13" s="61">
        <v>0</v>
      </c>
      <c r="AA13" s="61">
        <f t="shared" si="11"/>
        <v>3640.1836963489991</v>
      </c>
      <c r="AB13" s="61">
        <f t="shared" si="12"/>
        <v>728.0367392697998</v>
      </c>
      <c r="AC13" s="61">
        <v>4117.5822619945347</v>
      </c>
      <c r="AD13" s="61">
        <v>2920.5953817628028</v>
      </c>
      <c r="AE13" s="61">
        <v>1727.1409708827932</v>
      </c>
      <c r="AF13" s="61">
        <v>0</v>
      </c>
      <c r="AG13" s="61">
        <f t="shared" si="13"/>
        <v>1004.6907001923237</v>
      </c>
      <c r="AH13" s="64"/>
      <c r="AI13" s="64"/>
      <c r="AJ13" s="365">
        <v>8</v>
      </c>
      <c r="AK13" s="376" t="s">
        <v>42</v>
      </c>
      <c r="AL13" s="377">
        <v>7065</v>
      </c>
      <c r="AM13" s="371" t="s">
        <v>57</v>
      </c>
      <c r="AN13" s="79" t="s">
        <v>58</v>
      </c>
      <c r="AO13" s="368">
        <f t="shared" ref="AO13:AP16" si="19">Q13*12</f>
        <v>262093.22613712796</v>
      </c>
      <c r="AP13" s="368">
        <f t="shared" si="19"/>
        <v>87364.408712375982</v>
      </c>
      <c r="AQ13" s="368">
        <f t="shared" ref="AQ13:AZ16" si="20">X13*12</f>
        <v>0</v>
      </c>
      <c r="AR13" s="368">
        <f t="shared" si="20"/>
        <v>36229.62567889053</v>
      </c>
      <c r="AS13" s="368">
        <f t="shared" si="20"/>
        <v>0</v>
      </c>
      <c r="AT13" s="368">
        <f t="shared" si="20"/>
        <v>43682.204356187991</v>
      </c>
      <c r="AU13" s="368">
        <f t="shared" si="20"/>
        <v>8736.4408712375971</v>
      </c>
      <c r="AV13" s="368">
        <f t="shared" si="20"/>
        <v>49410.987143934413</v>
      </c>
      <c r="AW13" s="368">
        <f t="shared" si="20"/>
        <v>35047.144581153632</v>
      </c>
      <c r="AX13" s="368">
        <f t="shared" si="20"/>
        <v>20725.691650593519</v>
      </c>
      <c r="AY13" s="368">
        <f t="shared" si="20"/>
        <v>0</v>
      </c>
      <c r="AZ13" s="368">
        <f t="shared" si="20"/>
        <v>12056.288402307884</v>
      </c>
      <c r="BB13" s="64"/>
      <c r="BC13" s="66"/>
      <c r="BD13" s="66"/>
      <c r="BE13" s="66"/>
    </row>
    <row r="14" spans="1:177" s="364" customFormat="1" ht="21" customHeight="1" x14ac:dyDescent="0.2">
      <c r="B14" s="369">
        <v>9</v>
      </c>
      <c r="C14" s="370" t="s">
        <v>42</v>
      </c>
      <c r="D14" s="365">
        <v>7067</v>
      </c>
      <c r="E14" s="371" t="s">
        <v>59</v>
      </c>
      <c r="F14" s="371" t="s">
        <v>60</v>
      </c>
      <c r="G14" s="55">
        <v>43427</v>
      </c>
      <c r="H14" s="56" t="str">
        <f t="shared" si="0"/>
        <v>6 AÑOS</v>
      </c>
      <c r="I14" s="57">
        <v>11226.258135590757</v>
      </c>
      <c r="J14" s="58"/>
      <c r="K14" s="58"/>
      <c r="L14" s="59"/>
      <c r="M14" s="60">
        <v>4.0000000000000002E-4</v>
      </c>
      <c r="N14" s="61">
        <f t="shared" si="1"/>
        <v>449.05032542363028</v>
      </c>
      <c r="O14" s="58">
        <f t="shared" si="2"/>
        <v>11675.308461014387</v>
      </c>
      <c r="P14" s="61">
        <f t="shared" si="3"/>
        <v>23350.616922028774</v>
      </c>
      <c r="Q14" s="61">
        <f t="shared" si="4"/>
        <v>17512.962691521581</v>
      </c>
      <c r="R14" s="61">
        <f t="shared" si="5"/>
        <v>5837.6542305071935</v>
      </c>
      <c r="S14" s="61">
        <f t="shared" si="6"/>
        <v>778.35389740095911</v>
      </c>
      <c r="T14" s="58">
        <f t="shared" si="7"/>
        <v>893.47243882656096</v>
      </c>
      <c r="U14" s="61">
        <f t="shared" si="8"/>
        <v>8756.4813457607906</v>
      </c>
      <c r="V14" s="58">
        <f t="shared" si="9"/>
        <v>2918.8271152535967</v>
      </c>
      <c r="W14" s="62">
        <v>0</v>
      </c>
      <c r="X14" s="63">
        <f t="shared" si="10"/>
        <v>0</v>
      </c>
      <c r="Y14" s="61">
        <v>2094.64487890901</v>
      </c>
      <c r="Z14" s="61">
        <v>0</v>
      </c>
      <c r="AA14" s="61">
        <f t="shared" si="11"/>
        <v>2918.8271152535967</v>
      </c>
      <c r="AB14" s="61">
        <f t="shared" si="12"/>
        <v>583.76542305071928</v>
      </c>
      <c r="AC14" s="61">
        <v>3410.2957789336715</v>
      </c>
      <c r="AD14" s="61">
        <v>2341.8359357863578</v>
      </c>
      <c r="AE14" s="61">
        <v>1384.8822801811696</v>
      </c>
      <c r="AF14" s="61">
        <v>0</v>
      </c>
      <c r="AG14" s="61">
        <f t="shared" si="13"/>
        <v>805.59628380999266</v>
      </c>
      <c r="AH14" s="64"/>
      <c r="AI14" s="64"/>
      <c r="AJ14" s="369">
        <v>9</v>
      </c>
      <c r="AK14" s="370" t="s">
        <v>42</v>
      </c>
      <c r="AL14" s="365">
        <v>7067</v>
      </c>
      <c r="AM14" s="371" t="s">
        <v>59</v>
      </c>
      <c r="AN14" s="371" t="s">
        <v>60</v>
      </c>
      <c r="AO14" s="368">
        <f t="shared" si="19"/>
        <v>210155.55229825899</v>
      </c>
      <c r="AP14" s="368">
        <f t="shared" si="19"/>
        <v>70051.850766086325</v>
      </c>
      <c r="AQ14" s="368">
        <f t="shared" si="20"/>
        <v>0</v>
      </c>
      <c r="AR14" s="368">
        <f t="shared" si="20"/>
        <v>25135.73854690812</v>
      </c>
      <c r="AS14" s="368">
        <f t="shared" si="20"/>
        <v>0</v>
      </c>
      <c r="AT14" s="368">
        <f t="shared" si="20"/>
        <v>35025.925383043163</v>
      </c>
      <c r="AU14" s="368">
        <f t="shared" si="20"/>
        <v>7005.1850766086318</v>
      </c>
      <c r="AV14" s="368">
        <f t="shared" si="20"/>
        <v>40923.549347204054</v>
      </c>
      <c r="AW14" s="368">
        <f t="shared" si="20"/>
        <v>28102.031229436296</v>
      </c>
      <c r="AX14" s="368">
        <f t="shared" si="20"/>
        <v>16618.587362174036</v>
      </c>
      <c r="AY14" s="368">
        <f t="shared" si="20"/>
        <v>0</v>
      </c>
      <c r="AZ14" s="368">
        <f t="shared" si="20"/>
        <v>9667.1554057199119</v>
      </c>
      <c r="BB14" s="64"/>
      <c r="BC14" s="66"/>
      <c r="BD14" s="66"/>
      <c r="BE14" s="66"/>
    </row>
    <row r="15" spans="1:177" s="364" customFormat="1" ht="21" customHeight="1" x14ac:dyDescent="0.2">
      <c r="B15" s="369">
        <v>10</v>
      </c>
      <c r="C15" s="370" t="s">
        <v>42</v>
      </c>
      <c r="D15" s="365">
        <v>5104</v>
      </c>
      <c r="E15" s="372" t="s">
        <v>61</v>
      </c>
      <c r="F15" s="371" t="s">
        <v>62</v>
      </c>
      <c r="G15" s="55">
        <v>45447</v>
      </c>
      <c r="H15" s="56" t="str">
        <f t="shared" si="0"/>
        <v>0 AÑOS</v>
      </c>
      <c r="I15" s="57">
        <v>45440.242749111872</v>
      </c>
      <c r="J15" s="58"/>
      <c r="K15" s="58"/>
      <c r="L15" s="59"/>
      <c r="M15" s="60">
        <v>4.0000000000000002E-4</v>
      </c>
      <c r="N15" s="61">
        <f t="shared" si="1"/>
        <v>1817.6097099644749</v>
      </c>
      <c r="O15" s="58">
        <f t="shared" si="2"/>
        <v>47257.852459076348</v>
      </c>
      <c r="P15" s="61">
        <f t="shared" si="3"/>
        <v>94515.704918152696</v>
      </c>
      <c r="Q15" s="61">
        <f t="shared" si="4"/>
        <v>70886.778688614519</v>
      </c>
      <c r="R15" s="61">
        <f t="shared" si="5"/>
        <v>23628.926229538174</v>
      </c>
      <c r="S15" s="61">
        <f t="shared" si="6"/>
        <v>3150.5234972717567</v>
      </c>
      <c r="T15" s="58">
        <f t="shared" si="7"/>
        <v>3616.4859225182495</v>
      </c>
      <c r="U15" s="61">
        <f t="shared" si="8"/>
        <v>35443.389344307259</v>
      </c>
      <c r="V15" s="58">
        <f t="shared" si="9"/>
        <v>11814.463114769087</v>
      </c>
      <c r="W15" s="62">
        <v>0</v>
      </c>
      <c r="X15" s="63">
        <f t="shared" si="10"/>
        <v>0</v>
      </c>
      <c r="Y15" s="61">
        <v>15805.937606584355</v>
      </c>
      <c r="Z15" s="61">
        <v>0</v>
      </c>
      <c r="AA15" s="61">
        <f t="shared" si="11"/>
        <v>11814.463114769087</v>
      </c>
      <c r="AB15" s="61">
        <f t="shared" si="12"/>
        <v>2362.8926229538179</v>
      </c>
      <c r="AC15" s="61">
        <v>0</v>
      </c>
      <c r="AD15" s="61">
        <v>0</v>
      </c>
      <c r="AE15" s="61">
        <v>0</v>
      </c>
      <c r="AF15" s="81">
        <f>P15*0.0833</f>
        <v>7873.1582196821191</v>
      </c>
      <c r="AG15" s="61">
        <f t="shared" si="13"/>
        <v>3260.791819676268</v>
      </c>
      <c r="AH15" s="64"/>
      <c r="AI15" s="64"/>
      <c r="AJ15" s="369">
        <v>10</v>
      </c>
      <c r="AK15" s="370" t="s">
        <v>42</v>
      </c>
      <c r="AL15" s="365">
        <v>5104</v>
      </c>
      <c r="AM15" s="372" t="s">
        <v>61</v>
      </c>
      <c r="AN15" s="371" t="s">
        <v>62</v>
      </c>
      <c r="AO15" s="368">
        <f t="shared" si="19"/>
        <v>850641.34426337422</v>
      </c>
      <c r="AP15" s="368">
        <f t="shared" si="19"/>
        <v>283547.11475445807</v>
      </c>
      <c r="AQ15" s="368">
        <f t="shared" si="20"/>
        <v>0</v>
      </c>
      <c r="AR15" s="368">
        <f t="shared" si="20"/>
        <v>189671.25127901227</v>
      </c>
      <c r="AS15" s="368">
        <f t="shared" si="20"/>
        <v>0</v>
      </c>
      <c r="AT15" s="368">
        <f t="shared" si="20"/>
        <v>141773.55737722904</v>
      </c>
      <c r="AU15" s="368">
        <f t="shared" si="20"/>
        <v>28354.711475445816</v>
      </c>
      <c r="AV15" s="368">
        <f t="shared" si="20"/>
        <v>0</v>
      </c>
      <c r="AW15" s="368">
        <f t="shared" si="20"/>
        <v>0</v>
      </c>
      <c r="AX15" s="368">
        <f t="shared" si="20"/>
        <v>0</v>
      </c>
      <c r="AY15" s="368">
        <f t="shared" si="20"/>
        <v>94477.898636185433</v>
      </c>
      <c r="AZ15" s="368">
        <f t="shared" si="20"/>
        <v>39129.501836115218</v>
      </c>
      <c r="BB15" s="64"/>
      <c r="BC15" s="66"/>
      <c r="BD15" s="66"/>
      <c r="BE15" s="66"/>
    </row>
    <row r="16" spans="1:177" ht="21" customHeight="1" x14ac:dyDescent="0.2">
      <c r="B16" s="67">
        <v>11</v>
      </c>
      <c r="C16" s="82" t="s">
        <v>42</v>
      </c>
      <c r="D16" s="83">
        <v>1104</v>
      </c>
      <c r="E16" s="53" t="s">
        <v>63</v>
      </c>
      <c r="F16" s="84" t="s">
        <v>64</v>
      </c>
      <c r="G16" s="85">
        <v>44501</v>
      </c>
      <c r="H16" s="56" t="str">
        <f t="shared" si="0"/>
        <v>3 AÑOS</v>
      </c>
      <c r="I16" s="57">
        <v>14000.706524419227</v>
      </c>
      <c r="J16" s="58"/>
      <c r="K16" s="58"/>
      <c r="L16" s="59"/>
      <c r="M16" s="60">
        <v>4.0000000000000002E-4</v>
      </c>
      <c r="N16" s="61">
        <f t="shared" si="1"/>
        <v>560.02826097676905</v>
      </c>
      <c r="O16" s="58">
        <f t="shared" si="2"/>
        <v>14560.734785395996</v>
      </c>
      <c r="P16" s="61">
        <f t="shared" si="3"/>
        <v>29121.469570791993</v>
      </c>
      <c r="Q16" s="61">
        <f t="shared" si="4"/>
        <v>21841.102178093995</v>
      </c>
      <c r="R16" s="61">
        <f t="shared" si="5"/>
        <v>7280.3673926979982</v>
      </c>
      <c r="S16" s="61">
        <f t="shared" si="6"/>
        <v>970.7156523597331</v>
      </c>
      <c r="T16" s="58">
        <f t="shared" si="7"/>
        <v>1114.2844973437375</v>
      </c>
      <c r="U16" s="61">
        <f t="shared" si="8"/>
        <v>10920.551089046998</v>
      </c>
      <c r="V16" s="58">
        <f t="shared" si="9"/>
        <v>3640.1836963489991</v>
      </c>
      <c r="W16" s="62">
        <v>0</v>
      </c>
      <c r="X16" s="63">
        <f t="shared" si="10"/>
        <v>0</v>
      </c>
      <c r="Y16" s="61">
        <v>3019.1354732408777</v>
      </c>
      <c r="Z16" s="61">
        <v>0</v>
      </c>
      <c r="AA16" s="61">
        <f t="shared" si="11"/>
        <v>3640.1836963489991</v>
      </c>
      <c r="AB16" s="61">
        <f t="shared" si="12"/>
        <v>728.0367392697998</v>
      </c>
      <c r="AC16" s="61">
        <v>4117.5822619945347</v>
      </c>
      <c r="AD16" s="61">
        <v>2920.5953817628028</v>
      </c>
      <c r="AE16" s="61">
        <v>1727.1409708827932</v>
      </c>
      <c r="AF16" s="61">
        <v>0</v>
      </c>
      <c r="AG16" s="61">
        <f t="shared" si="13"/>
        <v>1004.6907001923237</v>
      </c>
      <c r="AH16" s="64"/>
      <c r="AI16" s="64"/>
      <c r="AJ16" s="67">
        <v>11</v>
      </c>
      <c r="AK16" s="82" t="s">
        <v>42</v>
      </c>
      <c r="AL16" s="83">
        <v>1104</v>
      </c>
      <c r="AM16" s="53" t="s">
        <v>63</v>
      </c>
      <c r="AN16" s="84" t="s">
        <v>64</v>
      </c>
      <c r="AO16" s="65">
        <f t="shared" si="19"/>
        <v>262093.22613712796</v>
      </c>
      <c r="AP16" s="65">
        <f t="shared" si="19"/>
        <v>87364.408712375982</v>
      </c>
      <c r="AQ16" s="65">
        <f t="shared" si="20"/>
        <v>0</v>
      </c>
      <c r="AR16" s="65">
        <f t="shared" si="20"/>
        <v>36229.62567889053</v>
      </c>
      <c r="AS16" s="65">
        <f t="shared" si="20"/>
        <v>0</v>
      </c>
      <c r="AT16" s="65">
        <f t="shared" si="20"/>
        <v>43682.204356187991</v>
      </c>
      <c r="AU16" s="65">
        <f t="shared" si="20"/>
        <v>8736.4408712375971</v>
      </c>
      <c r="AV16" s="65">
        <f t="shared" si="20"/>
        <v>49410.987143934413</v>
      </c>
      <c r="AW16" s="65">
        <f t="shared" si="20"/>
        <v>35047.144581153632</v>
      </c>
      <c r="AX16" s="65">
        <f t="shared" si="20"/>
        <v>20725.691650593519</v>
      </c>
      <c r="AY16" s="65">
        <f t="shared" si="20"/>
        <v>0</v>
      </c>
      <c r="AZ16" s="65">
        <f t="shared" si="20"/>
        <v>12056.288402307884</v>
      </c>
      <c r="BB16" s="64"/>
      <c r="BC16" s="66"/>
      <c r="BD16" s="66"/>
      <c r="BE16" s="66"/>
    </row>
    <row r="17" spans="1:177" s="96" customFormat="1" ht="21" customHeight="1" x14ac:dyDescent="0.2">
      <c r="A17" s="50"/>
      <c r="B17" s="468" t="s">
        <v>65</v>
      </c>
      <c r="C17" s="469"/>
      <c r="D17" s="469"/>
      <c r="E17" s="469"/>
      <c r="F17" s="470"/>
      <c r="G17" s="89"/>
      <c r="H17" s="90"/>
      <c r="I17" s="91">
        <f>SUM(I6:I16)</f>
        <v>167447.76749866348</v>
      </c>
      <c r="J17" s="91">
        <f t="shared" ref="J17:AG17" si="21">SUM(J6:J16)</f>
        <v>0</v>
      </c>
      <c r="K17" s="91">
        <f t="shared" si="21"/>
        <v>0</v>
      </c>
      <c r="L17" s="91">
        <f t="shared" si="21"/>
        <v>0</v>
      </c>
      <c r="M17" s="91">
        <f t="shared" si="21"/>
        <v>4.4000000000000011E-3</v>
      </c>
      <c r="N17" s="91">
        <f t="shared" si="21"/>
        <v>6697.9106999465394</v>
      </c>
      <c r="O17" s="91">
        <f t="shared" si="21"/>
        <v>174145.67819861</v>
      </c>
      <c r="P17" s="91">
        <f t="shared" si="21"/>
        <v>348291.35639721999</v>
      </c>
      <c r="Q17" s="91">
        <f t="shared" si="21"/>
        <v>261218.51729791504</v>
      </c>
      <c r="R17" s="91">
        <f t="shared" si="21"/>
        <v>87072.839099304998</v>
      </c>
      <c r="S17" s="91">
        <f t="shared" si="21"/>
        <v>11609.711879907334</v>
      </c>
      <c r="T17" s="91">
        <f t="shared" si="21"/>
        <v>13326.788266945628</v>
      </c>
      <c r="U17" s="91">
        <f t="shared" si="21"/>
        <v>130609.25864895752</v>
      </c>
      <c r="V17" s="91">
        <f t="shared" si="21"/>
        <v>43536.419549652499</v>
      </c>
      <c r="W17" s="91">
        <f t="shared" si="21"/>
        <v>0</v>
      </c>
      <c r="X17" s="91">
        <f t="shared" si="21"/>
        <v>0</v>
      </c>
      <c r="Y17" s="91">
        <f t="shared" si="21"/>
        <v>40000.21266350396</v>
      </c>
      <c r="Z17" s="91">
        <f t="shared" si="21"/>
        <v>0</v>
      </c>
      <c r="AA17" s="91">
        <f t="shared" si="21"/>
        <v>43536.419549652499</v>
      </c>
      <c r="AB17" s="91">
        <f t="shared" si="21"/>
        <v>8707.2839099305002</v>
      </c>
      <c r="AC17" s="91">
        <f t="shared" si="21"/>
        <v>36587.22340706121</v>
      </c>
      <c r="AD17" s="91">
        <f t="shared" si="21"/>
        <v>25451.187959861381</v>
      </c>
      <c r="AE17" s="91">
        <f t="shared" si="21"/>
        <v>15050.968633862438</v>
      </c>
      <c r="AF17" s="91">
        <f t="shared" si="21"/>
        <v>7873.1582196821191</v>
      </c>
      <c r="AG17" s="91">
        <f t="shared" si="21"/>
        <v>12016.05179570409</v>
      </c>
      <c r="AH17" s="92"/>
      <c r="AI17" s="92"/>
      <c r="AJ17" s="468" t="s">
        <v>65</v>
      </c>
      <c r="AK17" s="469"/>
      <c r="AL17" s="469"/>
      <c r="AM17" s="469"/>
      <c r="AN17" s="470"/>
      <c r="AO17" s="93">
        <f>SUM(AO6:AO16)+229487.73</f>
        <v>3293665.8973276517</v>
      </c>
      <c r="AP17" s="93">
        <f>SUM(AP6:AP16)+76495.91</f>
        <v>1097888.6324425505</v>
      </c>
      <c r="AQ17" s="93">
        <f t="shared" ref="AQ17:AY17" si="22">SUM(AQ6:AQ16)</f>
        <v>0</v>
      </c>
      <c r="AR17" s="93">
        <f>SUM(AR6:AR16)+30088.15</f>
        <v>501627.04035327199</v>
      </c>
      <c r="AS17" s="93">
        <f t="shared" si="22"/>
        <v>0</v>
      </c>
      <c r="AT17" s="93">
        <f>SUM(AT6:AT16)+38247.96</f>
        <v>548944.32122127526</v>
      </c>
      <c r="AU17" s="93">
        <f>SUM(AU6:AU16)+7649.59</f>
        <v>109788.86224425505</v>
      </c>
      <c r="AV17" s="93">
        <f>SUM(AV6:AV16)+43808.53</f>
        <v>469149.93780153408</v>
      </c>
      <c r="AW17" s="93">
        <f>SUM(AW6:AW16)+30687.13</f>
        <v>326681.59814032546</v>
      </c>
      <c r="AX17" s="93">
        <f>SUM(AX6:AX16)+18147.33</f>
        <v>193188.41110013332</v>
      </c>
      <c r="AY17" s="93">
        <f t="shared" si="22"/>
        <v>94477.898636185433</v>
      </c>
      <c r="AZ17" s="93">
        <f>SUM(AZ6:AZ16)+10556.44</f>
        <v>151508.63569707196</v>
      </c>
      <c r="BA17" s="94"/>
      <c r="BB17" s="92"/>
      <c r="BC17" s="95"/>
      <c r="BD17" s="95"/>
      <c r="BE17" s="95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</row>
    <row r="18" spans="1:177" s="102" customFormat="1" ht="21" customHeight="1" x14ac:dyDescent="0.2">
      <c r="A18" s="50"/>
      <c r="B18" s="67">
        <v>12</v>
      </c>
      <c r="C18" s="73" t="s">
        <v>66</v>
      </c>
      <c r="D18" s="67">
        <v>1073</v>
      </c>
      <c r="E18" s="97" t="s">
        <v>67</v>
      </c>
      <c r="F18" s="98" t="s">
        <v>68</v>
      </c>
      <c r="G18" s="99">
        <v>42401</v>
      </c>
      <c r="H18" s="100" t="str">
        <f t="shared" ref="H18:H34" si="23" xml:space="preserve"> CONCATENATE(DATEDIF(G18,H$5,"Y")," AÑOS")</f>
        <v>8 AÑOS</v>
      </c>
      <c r="I18" s="57">
        <v>6888.8830090101965</v>
      </c>
      <c r="J18" s="58"/>
      <c r="K18" s="58"/>
      <c r="L18" s="59"/>
      <c r="M18" s="60">
        <v>4.0000000000000002E-4</v>
      </c>
      <c r="N18" s="61">
        <f t="shared" ref="N18:N28" si="24">I18*0.04</f>
        <v>275.55532036040785</v>
      </c>
      <c r="O18" s="58">
        <f t="shared" ref="O18:O34" si="25">I18+N18</f>
        <v>7164.4383293706042</v>
      </c>
      <c r="P18" s="61">
        <f t="shared" ref="P18:P34" si="26">O18*2</f>
        <v>14328.876658741208</v>
      </c>
      <c r="Q18" s="61">
        <f t="shared" ref="Q18:Q34" si="27">P18*0.75</f>
        <v>10746.657494055906</v>
      </c>
      <c r="R18" s="61">
        <f t="shared" ref="R18:R34" si="28">P18*0.25</f>
        <v>3582.2191646853021</v>
      </c>
      <c r="S18" s="61">
        <f t="shared" ref="S18:S34" si="29">(P18/30)</f>
        <v>477.62922195804026</v>
      </c>
      <c r="T18" s="58">
        <f t="shared" ref="T18:T34" si="30">S18*1.1479</f>
        <v>548.27058388563432</v>
      </c>
      <c r="U18" s="61">
        <f t="shared" ref="U18:U34" si="31">O18*0.75</f>
        <v>5373.3287470279529</v>
      </c>
      <c r="V18" s="58">
        <f t="shared" ref="V18:V34" si="32">O18*0.25</f>
        <v>1791.109582342651</v>
      </c>
      <c r="W18" s="101">
        <v>2.5000000000000001E-2</v>
      </c>
      <c r="X18" s="63">
        <f t="shared" ref="X18:X34" si="33">P18*W18</f>
        <v>358.22191646853025</v>
      </c>
      <c r="Y18" s="61">
        <v>856.27559935328247</v>
      </c>
      <c r="Z18" s="61">
        <v>0</v>
      </c>
      <c r="AA18" s="61">
        <f t="shared" ref="AA18:AA34" si="34">(S18*45)/12</f>
        <v>1791.109582342651</v>
      </c>
      <c r="AB18" s="61">
        <f t="shared" ref="AB18:AB34" si="35">(S18*10)*(0.45*2)/12</f>
        <v>358.2219164685302</v>
      </c>
      <c r="AC18" s="61">
        <v>2304.574435784009</v>
      </c>
      <c r="AD18" s="61">
        <v>1437.0446138934417</v>
      </c>
      <c r="AE18" s="61">
        <v>849.81940502273324</v>
      </c>
      <c r="AF18" s="61">
        <v>0</v>
      </c>
      <c r="AG18" s="61">
        <f t="shared" ref="AG18:AG34" si="36">(P18+AA18+AB18)*0.03</f>
        <v>494.34624472657163</v>
      </c>
      <c r="AH18" s="64"/>
      <c r="AI18" s="64"/>
      <c r="AJ18" s="67">
        <v>12</v>
      </c>
      <c r="AK18" s="73" t="s">
        <v>66</v>
      </c>
      <c r="AL18" s="67">
        <v>1073</v>
      </c>
      <c r="AM18" s="97" t="s">
        <v>67</v>
      </c>
      <c r="AN18" s="98" t="s">
        <v>68</v>
      </c>
      <c r="AO18" s="65">
        <f>Q18*12</f>
        <v>128959.88992867086</v>
      </c>
      <c r="AP18" s="65">
        <f>R18*12</f>
        <v>42986.629976223623</v>
      </c>
      <c r="AQ18" s="65">
        <f t="shared" ref="AQ18:AZ18" si="37">X18*12</f>
        <v>4298.662997622363</v>
      </c>
      <c r="AR18" s="65">
        <f t="shared" si="37"/>
        <v>10275.30719223939</v>
      </c>
      <c r="AS18" s="65">
        <f t="shared" si="37"/>
        <v>0</v>
      </c>
      <c r="AT18" s="65">
        <f t="shared" si="37"/>
        <v>21493.314988111812</v>
      </c>
      <c r="AU18" s="65">
        <f t="shared" si="37"/>
        <v>4298.6629976223621</v>
      </c>
      <c r="AV18" s="65">
        <f t="shared" si="37"/>
        <v>27654.89322940811</v>
      </c>
      <c r="AW18" s="65">
        <f t="shared" si="37"/>
        <v>17244.535366721298</v>
      </c>
      <c r="AX18" s="65">
        <f t="shared" si="37"/>
        <v>10197.8328602728</v>
      </c>
      <c r="AY18" s="65">
        <f t="shared" si="37"/>
        <v>0</v>
      </c>
      <c r="AZ18" s="65">
        <f t="shared" si="37"/>
        <v>5932.15493671886</v>
      </c>
      <c r="BA18" s="50"/>
      <c r="BB18" s="64"/>
      <c r="BC18" s="66"/>
      <c r="BD18" s="66"/>
      <c r="BE18" s="66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</row>
    <row r="19" spans="1:177" s="364" customFormat="1" ht="21" customHeight="1" x14ac:dyDescent="0.2">
      <c r="B19" s="365">
        <v>13</v>
      </c>
      <c r="C19" s="372" t="s">
        <v>66</v>
      </c>
      <c r="D19" s="365">
        <v>5125</v>
      </c>
      <c r="E19" s="370" t="s">
        <v>69</v>
      </c>
      <c r="F19" s="378" t="s">
        <v>70</v>
      </c>
      <c r="G19" s="55">
        <v>45459</v>
      </c>
      <c r="H19" s="55" t="str">
        <f t="shared" si="23"/>
        <v>0 AÑOS</v>
      </c>
      <c r="I19" s="57">
        <v>6060.444465635499</v>
      </c>
      <c r="J19" s="58"/>
      <c r="K19" s="58"/>
      <c r="L19" s="59"/>
      <c r="M19" s="60">
        <v>4.0000000000000002E-4</v>
      </c>
      <c r="N19" s="61">
        <f t="shared" si="24"/>
        <v>242.41777862541997</v>
      </c>
      <c r="O19" s="58">
        <f t="shared" si="25"/>
        <v>6302.8622442609194</v>
      </c>
      <c r="P19" s="61">
        <f t="shared" si="26"/>
        <v>12605.724488521839</v>
      </c>
      <c r="Q19" s="61">
        <f t="shared" si="27"/>
        <v>9454.2933663913791</v>
      </c>
      <c r="R19" s="61">
        <f t="shared" si="28"/>
        <v>3151.4311221304597</v>
      </c>
      <c r="S19" s="61">
        <f t="shared" si="29"/>
        <v>420.19081628406127</v>
      </c>
      <c r="T19" s="58">
        <f t="shared" si="30"/>
        <v>482.3370380124739</v>
      </c>
      <c r="U19" s="61">
        <f t="shared" si="31"/>
        <v>4727.1466831956895</v>
      </c>
      <c r="V19" s="58">
        <f t="shared" si="32"/>
        <v>1575.7155610652298</v>
      </c>
      <c r="W19" s="101">
        <v>2.5000000000000001E-2</v>
      </c>
      <c r="X19" s="63">
        <f t="shared" si="33"/>
        <v>315.14311221304598</v>
      </c>
      <c r="Y19" s="61">
        <v>715.66638226338205</v>
      </c>
      <c r="Z19" s="61">
        <v>0</v>
      </c>
      <c r="AA19" s="61">
        <f t="shared" si="34"/>
        <v>1575.7155610652298</v>
      </c>
      <c r="AB19" s="61">
        <f t="shared" si="35"/>
        <v>315.14311221304598</v>
      </c>
      <c r="AC19" s="61">
        <v>2093.3816862144367</v>
      </c>
      <c r="AD19" s="61">
        <v>1264.2294934825948</v>
      </c>
      <c r="AE19" s="61">
        <v>747.62240891933459</v>
      </c>
      <c r="AF19" s="61">
        <v>0</v>
      </c>
      <c r="AG19" s="61">
        <f t="shared" si="36"/>
        <v>434.89749485400341</v>
      </c>
      <c r="AH19" s="64"/>
      <c r="AI19" s="64"/>
      <c r="AJ19" s="365">
        <v>13</v>
      </c>
      <c r="AK19" s="372" t="s">
        <v>66</v>
      </c>
      <c r="AL19" s="365">
        <v>5125</v>
      </c>
      <c r="AM19" s="370" t="s">
        <v>69</v>
      </c>
      <c r="AN19" s="378" t="s">
        <v>70</v>
      </c>
      <c r="AO19" s="368">
        <f>Q19*3</f>
        <v>28362.880099174137</v>
      </c>
      <c r="AP19" s="368">
        <f>R19*3</f>
        <v>9454.2933663913791</v>
      </c>
      <c r="AQ19" s="368">
        <f t="shared" ref="AQ19:AZ19" si="38">X19*3</f>
        <v>945.429336639138</v>
      </c>
      <c r="AR19" s="368">
        <f t="shared" si="38"/>
        <v>2146.9991467901464</v>
      </c>
      <c r="AS19" s="368">
        <f t="shared" si="38"/>
        <v>0</v>
      </c>
      <c r="AT19" s="368">
        <f t="shared" si="38"/>
        <v>4727.1466831956895</v>
      </c>
      <c r="AU19" s="368">
        <f t="shared" si="38"/>
        <v>945.429336639138</v>
      </c>
      <c r="AV19" s="368">
        <f t="shared" si="38"/>
        <v>6280.1450586433102</v>
      </c>
      <c r="AW19" s="368">
        <f t="shared" si="38"/>
        <v>3792.6884804477841</v>
      </c>
      <c r="AX19" s="368">
        <f t="shared" si="38"/>
        <v>2242.8672267580037</v>
      </c>
      <c r="AY19" s="368">
        <f t="shared" si="38"/>
        <v>0</v>
      </c>
      <c r="AZ19" s="368">
        <f t="shared" si="38"/>
        <v>1304.6924845620101</v>
      </c>
      <c r="BB19" s="64"/>
      <c r="BC19" s="66"/>
      <c r="BD19" s="66"/>
      <c r="BE19" s="66"/>
    </row>
    <row r="20" spans="1:177" s="364" customFormat="1" ht="21" customHeight="1" x14ac:dyDescent="0.2">
      <c r="B20" s="365">
        <v>14</v>
      </c>
      <c r="C20" s="379" t="s">
        <v>66</v>
      </c>
      <c r="D20" s="380">
        <v>1110</v>
      </c>
      <c r="E20" s="366" t="s">
        <v>71</v>
      </c>
      <c r="F20" s="371" t="s">
        <v>70</v>
      </c>
      <c r="G20" s="55">
        <v>44577</v>
      </c>
      <c r="H20" s="55" t="str">
        <f t="shared" si="23"/>
        <v>2 AÑOS</v>
      </c>
      <c r="I20" s="57">
        <v>5028.6080312163012</v>
      </c>
      <c r="J20" s="58"/>
      <c r="K20" s="58"/>
      <c r="L20" s="59"/>
      <c r="M20" s="60">
        <v>4.0000000000000002E-4</v>
      </c>
      <c r="N20" s="61">
        <f t="shared" si="24"/>
        <v>201.14432124865206</v>
      </c>
      <c r="O20" s="58">
        <f t="shared" si="25"/>
        <v>5229.7523524649532</v>
      </c>
      <c r="P20" s="61">
        <f t="shared" si="26"/>
        <v>10459.504704929906</v>
      </c>
      <c r="Q20" s="61">
        <f t="shared" si="27"/>
        <v>7844.6285286974298</v>
      </c>
      <c r="R20" s="61">
        <f t="shared" si="28"/>
        <v>2614.8761762324766</v>
      </c>
      <c r="S20" s="61">
        <f t="shared" si="29"/>
        <v>348.65015683099688</v>
      </c>
      <c r="T20" s="58">
        <f t="shared" si="30"/>
        <v>400.21551502630126</v>
      </c>
      <c r="U20" s="61">
        <f t="shared" si="31"/>
        <v>3922.3142643487149</v>
      </c>
      <c r="V20" s="58">
        <f t="shared" si="32"/>
        <v>1307.4380881162383</v>
      </c>
      <c r="W20" s="101">
        <v>0</v>
      </c>
      <c r="X20" s="63">
        <f t="shared" si="33"/>
        <v>0</v>
      </c>
      <c r="Y20" s="61">
        <v>540.53484792228028</v>
      </c>
      <c r="Z20" s="61">
        <v>0</v>
      </c>
      <c r="AA20" s="61">
        <f t="shared" si="34"/>
        <v>1307.4380881162383</v>
      </c>
      <c r="AB20" s="61">
        <f t="shared" si="35"/>
        <v>261.48761762324767</v>
      </c>
      <c r="AC20" s="61">
        <v>1830.3369794781256</v>
      </c>
      <c r="AD20" s="61">
        <v>993.15481131351794</v>
      </c>
      <c r="AE20" s="61">
        <v>620.33404829076699</v>
      </c>
      <c r="AF20" s="61">
        <v>0</v>
      </c>
      <c r="AG20" s="61">
        <f t="shared" si="36"/>
        <v>360.85291232008177</v>
      </c>
      <c r="AH20" s="64"/>
      <c r="AI20" s="64"/>
      <c r="AJ20" s="365">
        <v>14</v>
      </c>
      <c r="AK20" s="379" t="s">
        <v>66</v>
      </c>
      <c r="AL20" s="380">
        <v>1110</v>
      </c>
      <c r="AM20" s="366" t="s">
        <v>71</v>
      </c>
      <c r="AN20" s="371" t="s">
        <v>70</v>
      </c>
      <c r="AO20" s="368">
        <f>Q20*12</f>
        <v>94135.542344369154</v>
      </c>
      <c r="AP20" s="368">
        <f>R20*12</f>
        <v>31378.514114789719</v>
      </c>
      <c r="AQ20" s="368">
        <f t="shared" ref="AQ20:AZ21" si="39">X20*12</f>
        <v>0</v>
      </c>
      <c r="AR20" s="368">
        <f t="shared" si="39"/>
        <v>6486.4181750673633</v>
      </c>
      <c r="AS20" s="368">
        <f t="shared" si="39"/>
        <v>0</v>
      </c>
      <c r="AT20" s="368">
        <f t="shared" si="39"/>
        <v>15689.25705739486</v>
      </c>
      <c r="AU20" s="368">
        <f t="shared" si="39"/>
        <v>3137.8514114789723</v>
      </c>
      <c r="AV20" s="368">
        <f t="shared" si="39"/>
        <v>21964.043753737507</v>
      </c>
      <c r="AW20" s="368">
        <f t="shared" si="39"/>
        <v>11917.857735762216</v>
      </c>
      <c r="AX20" s="368">
        <f t="shared" si="39"/>
        <v>7444.0085794892038</v>
      </c>
      <c r="AY20" s="368">
        <f t="shared" si="39"/>
        <v>0</v>
      </c>
      <c r="AZ20" s="368">
        <f t="shared" si="39"/>
        <v>4330.2349478409815</v>
      </c>
      <c r="BB20" s="64"/>
      <c r="BC20" s="66"/>
      <c r="BD20" s="66"/>
      <c r="BE20" s="66"/>
    </row>
    <row r="21" spans="1:177" s="364" customFormat="1" ht="21" customHeight="1" x14ac:dyDescent="0.2">
      <c r="B21" s="365">
        <v>15</v>
      </c>
      <c r="C21" s="372" t="s">
        <v>66</v>
      </c>
      <c r="D21" s="365">
        <v>1085</v>
      </c>
      <c r="E21" s="372" t="s">
        <v>72</v>
      </c>
      <c r="F21" s="372" t="s">
        <v>73</v>
      </c>
      <c r="G21" s="55">
        <v>43014</v>
      </c>
      <c r="H21" s="55" t="str">
        <f t="shared" si="23"/>
        <v>7 AÑOS</v>
      </c>
      <c r="I21" s="57">
        <v>5880.0867565020626</v>
      </c>
      <c r="J21" s="58"/>
      <c r="K21" s="58"/>
      <c r="L21" s="59"/>
      <c r="M21" s="60">
        <v>4.0000000000000002E-4</v>
      </c>
      <c r="N21" s="61">
        <f t="shared" si="24"/>
        <v>235.2034702600825</v>
      </c>
      <c r="O21" s="58">
        <f t="shared" si="25"/>
        <v>6115.2902267621448</v>
      </c>
      <c r="P21" s="61">
        <f t="shared" si="26"/>
        <v>12230.58045352429</v>
      </c>
      <c r="Q21" s="61">
        <f t="shared" si="27"/>
        <v>9172.9353401432163</v>
      </c>
      <c r="R21" s="61">
        <f t="shared" si="28"/>
        <v>3057.6451133810724</v>
      </c>
      <c r="S21" s="61">
        <f t="shared" si="29"/>
        <v>407.6860151174763</v>
      </c>
      <c r="T21" s="58">
        <f t="shared" si="30"/>
        <v>467.982776753351</v>
      </c>
      <c r="U21" s="61">
        <f t="shared" si="31"/>
        <v>4586.4676700716082</v>
      </c>
      <c r="V21" s="58">
        <f t="shared" si="32"/>
        <v>1528.8225566905362</v>
      </c>
      <c r="W21" s="101">
        <v>2.5000000000000001E-2</v>
      </c>
      <c r="X21" s="63">
        <f t="shared" si="33"/>
        <v>305.76451133810724</v>
      </c>
      <c r="Y21" s="61">
        <v>685.05462900758187</v>
      </c>
      <c r="Z21" s="61">
        <v>0</v>
      </c>
      <c r="AA21" s="61">
        <f t="shared" si="34"/>
        <v>1528.822556690536</v>
      </c>
      <c r="AB21" s="61">
        <f t="shared" si="35"/>
        <v>305.76451133810724</v>
      </c>
      <c r="AC21" s="61">
        <v>2047.4033323551428</v>
      </c>
      <c r="AD21" s="61">
        <v>1226.6062570093707</v>
      </c>
      <c r="AE21" s="61">
        <v>725.37330396769403</v>
      </c>
      <c r="AF21" s="61">
        <v>0</v>
      </c>
      <c r="AG21" s="61">
        <f t="shared" si="36"/>
        <v>421.95502564658801</v>
      </c>
      <c r="AH21" s="64"/>
      <c r="AI21" s="64"/>
      <c r="AJ21" s="365">
        <v>15</v>
      </c>
      <c r="AK21" s="372" t="s">
        <v>66</v>
      </c>
      <c r="AL21" s="365">
        <v>1085</v>
      </c>
      <c r="AM21" s="372" t="s">
        <v>72</v>
      </c>
      <c r="AN21" s="372" t="s">
        <v>73</v>
      </c>
      <c r="AO21" s="368">
        <f>Q21*12</f>
        <v>110075.2240817186</v>
      </c>
      <c r="AP21" s="368">
        <f>R21*12</f>
        <v>36691.741360572865</v>
      </c>
      <c r="AQ21" s="368">
        <f t="shared" si="39"/>
        <v>3669.1741360572869</v>
      </c>
      <c r="AR21" s="368">
        <f t="shared" si="39"/>
        <v>8220.6555480909828</v>
      </c>
      <c r="AS21" s="368">
        <f t="shared" si="39"/>
        <v>0</v>
      </c>
      <c r="AT21" s="368">
        <f t="shared" si="39"/>
        <v>18345.870680286433</v>
      </c>
      <c r="AU21" s="368">
        <f t="shared" si="39"/>
        <v>3669.1741360572869</v>
      </c>
      <c r="AV21" s="368">
        <f t="shared" si="39"/>
        <v>24568.839988261712</v>
      </c>
      <c r="AW21" s="368">
        <f t="shared" si="39"/>
        <v>14719.275084112447</v>
      </c>
      <c r="AX21" s="368">
        <f t="shared" si="39"/>
        <v>8704.4796476123283</v>
      </c>
      <c r="AY21" s="368">
        <f t="shared" si="39"/>
        <v>0</v>
      </c>
      <c r="AZ21" s="368">
        <f t="shared" si="39"/>
        <v>5063.4603077590564</v>
      </c>
      <c r="BB21" s="64"/>
      <c r="BC21" s="66"/>
      <c r="BD21" s="66"/>
      <c r="BE21" s="66"/>
    </row>
    <row r="22" spans="1:177" s="364" customFormat="1" ht="21" customHeight="1" x14ac:dyDescent="0.2">
      <c r="B22" s="365">
        <v>16</v>
      </c>
      <c r="C22" s="372" t="s">
        <v>66</v>
      </c>
      <c r="D22" s="365">
        <v>1076</v>
      </c>
      <c r="E22" s="370" t="s">
        <v>74</v>
      </c>
      <c r="F22" s="378" t="s">
        <v>75</v>
      </c>
      <c r="G22" s="55">
        <v>42552</v>
      </c>
      <c r="H22" s="55" t="str">
        <f t="shared" si="23"/>
        <v>8 AÑOS</v>
      </c>
      <c r="I22" s="57">
        <v>5260.9611599999998</v>
      </c>
      <c r="J22" s="58"/>
      <c r="K22" s="58"/>
      <c r="L22" s="59"/>
      <c r="M22" s="60">
        <v>4.0000000000000002E-4</v>
      </c>
      <c r="N22" s="61">
        <f t="shared" si="24"/>
        <v>210.4384464</v>
      </c>
      <c r="O22" s="58">
        <f t="shared" si="25"/>
        <v>5471.3996064000003</v>
      </c>
      <c r="P22" s="61">
        <f t="shared" si="26"/>
        <v>10942.799212800001</v>
      </c>
      <c r="Q22" s="61">
        <f t="shared" si="27"/>
        <v>8207.0994095999995</v>
      </c>
      <c r="R22" s="61">
        <f t="shared" si="28"/>
        <v>2735.6998032000001</v>
      </c>
      <c r="S22" s="61">
        <f t="shared" si="29"/>
        <v>364.75997376000004</v>
      </c>
      <c r="T22" s="58">
        <f t="shared" si="30"/>
        <v>418.70797387910403</v>
      </c>
      <c r="U22" s="61">
        <f t="shared" si="31"/>
        <v>4103.5497047999997</v>
      </c>
      <c r="V22" s="58">
        <f t="shared" si="32"/>
        <v>1367.8499016000001</v>
      </c>
      <c r="W22" s="101">
        <v>0</v>
      </c>
      <c r="X22" s="63">
        <f t="shared" si="33"/>
        <v>0</v>
      </c>
      <c r="Y22" s="61">
        <v>579.97167976447986</v>
      </c>
      <c r="Z22" s="61">
        <v>0</v>
      </c>
      <c r="AA22" s="61">
        <f t="shared" si="34"/>
        <v>1367.8499016000003</v>
      </c>
      <c r="AB22" s="61">
        <f t="shared" si="35"/>
        <v>273.56998032000007</v>
      </c>
      <c r="AC22" s="61">
        <v>1889.5704573641585</v>
      </c>
      <c r="AD22" s="61">
        <v>1097.4545349358257</v>
      </c>
      <c r="AE22" s="61">
        <v>648.9973595126113</v>
      </c>
      <c r="AF22" s="61">
        <v>0</v>
      </c>
      <c r="AG22" s="61">
        <f t="shared" si="36"/>
        <v>377.52657284160006</v>
      </c>
      <c r="AH22" s="64"/>
      <c r="AI22" s="64"/>
      <c r="AJ22" s="365">
        <v>16</v>
      </c>
      <c r="AK22" s="372" t="s">
        <v>66</v>
      </c>
      <c r="AL22" s="365">
        <v>1076</v>
      </c>
      <c r="AM22" s="370" t="s">
        <v>74</v>
      </c>
      <c r="AN22" s="378" t="s">
        <v>75</v>
      </c>
      <c r="AO22" s="368">
        <f t="shared" ref="AO22:AP23" si="40">Q22*3</f>
        <v>24621.298228799998</v>
      </c>
      <c r="AP22" s="368">
        <f t="shared" si="40"/>
        <v>8207.0994095999995</v>
      </c>
      <c r="AQ22" s="368">
        <f t="shared" ref="AQ22:AZ23" si="41">X22*3</f>
        <v>0</v>
      </c>
      <c r="AR22" s="368">
        <f t="shared" si="41"/>
        <v>1739.9150392934396</v>
      </c>
      <c r="AS22" s="368">
        <f t="shared" si="41"/>
        <v>0</v>
      </c>
      <c r="AT22" s="368">
        <f t="shared" si="41"/>
        <v>4103.5497048000007</v>
      </c>
      <c r="AU22" s="368">
        <f t="shared" si="41"/>
        <v>820.70994096000027</v>
      </c>
      <c r="AV22" s="368">
        <f t="shared" si="41"/>
        <v>5668.7113720924754</v>
      </c>
      <c r="AW22" s="368">
        <f t="shared" si="41"/>
        <v>3292.3636048074768</v>
      </c>
      <c r="AX22" s="368">
        <f t="shared" si="41"/>
        <v>1946.992078537834</v>
      </c>
      <c r="AY22" s="368">
        <f t="shared" si="41"/>
        <v>0</v>
      </c>
      <c r="AZ22" s="368">
        <f t="shared" si="41"/>
        <v>1132.5797185248002</v>
      </c>
      <c r="BB22" s="64"/>
      <c r="BC22" s="66"/>
      <c r="BD22" s="66"/>
      <c r="BE22" s="66"/>
    </row>
    <row r="23" spans="1:177" s="364" customFormat="1" ht="21" customHeight="1" x14ac:dyDescent="0.2">
      <c r="B23" s="365">
        <v>17</v>
      </c>
      <c r="C23" s="372" t="s">
        <v>66</v>
      </c>
      <c r="E23" s="375" t="s">
        <v>55</v>
      </c>
      <c r="F23" s="378" t="s">
        <v>77</v>
      </c>
      <c r="G23" s="372"/>
      <c r="H23" s="372"/>
      <c r="I23" s="57">
        <v>3778.182932442432</v>
      </c>
      <c r="J23" s="57">
        <v>4250</v>
      </c>
      <c r="K23" s="108">
        <f>J23-I23</f>
        <v>471.81706755756795</v>
      </c>
      <c r="L23" s="109">
        <f>K23*100/I23</f>
        <v>12.487936026235728</v>
      </c>
      <c r="M23" s="60">
        <v>1.2539999999999999E-3</v>
      </c>
      <c r="N23" s="61">
        <f>I23*0.12541</f>
        <v>473.82192155760538</v>
      </c>
      <c r="O23" s="57">
        <f>I23+N23</f>
        <v>4252.0048540000371</v>
      </c>
      <c r="P23" s="81">
        <f>O23*2</f>
        <v>8504.0097080000742</v>
      </c>
      <c r="Q23" s="81">
        <f>P23*0.75</f>
        <v>6378.0072810000556</v>
      </c>
      <c r="R23" s="81">
        <f>P23*0.25</f>
        <v>2126.0024270000185</v>
      </c>
      <c r="S23" s="81">
        <f>(P23/30)</f>
        <v>283.46699026666914</v>
      </c>
      <c r="T23" s="57">
        <f>S23*1.1479</f>
        <v>325.39175812710948</v>
      </c>
      <c r="U23" s="81">
        <f>O23*0.75</f>
        <v>3189.0036405000278</v>
      </c>
      <c r="V23" s="57">
        <f>O23*0.25</f>
        <v>1063.0012135000093</v>
      </c>
      <c r="W23" s="101">
        <v>2.5000000000000001E-2</v>
      </c>
      <c r="X23" s="158">
        <f>P23*W23</f>
        <v>212.60024270000187</v>
      </c>
      <c r="Y23" s="81">
        <v>53.495703975052436</v>
      </c>
      <c r="Z23" s="81">
        <v>4</v>
      </c>
      <c r="AA23" s="81">
        <f>(S23*45)/12</f>
        <v>1063.0012135000093</v>
      </c>
      <c r="AB23" s="81">
        <f>(S23*10)*(0.45*2)/12</f>
        <v>212.60024270000187</v>
      </c>
      <c r="AC23" s="61">
        <v>1591.968335240553</v>
      </c>
      <c r="AD23" s="61">
        <v>793.05024109147132</v>
      </c>
      <c r="AE23" s="61">
        <v>502.88537799078716</v>
      </c>
      <c r="AF23" s="81">
        <v>0</v>
      </c>
      <c r="AG23" s="81">
        <f>(P23+AA23+AB23)*0.03</f>
        <v>293.38833492600253</v>
      </c>
      <c r="AH23" s="64"/>
      <c r="AI23" s="64"/>
      <c r="AJ23" s="365">
        <v>17</v>
      </c>
      <c r="AK23" s="372" t="s">
        <v>66</v>
      </c>
      <c r="AM23" s="375" t="s">
        <v>55</v>
      </c>
      <c r="AN23" s="378" t="s">
        <v>77</v>
      </c>
      <c r="AO23" s="368">
        <f t="shared" si="40"/>
        <v>19134.021843000166</v>
      </c>
      <c r="AP23" s="368">
        <f t="shared" si="40"/>
        <v>6378.0072810000556</v>
      </c>
      <c r="AQ23" s="368">
        <f t="shared" si="41"/>
        <v>637.80072810000559</v>
      </c>
      <c r="AR23" s="368">
        <f t="shared" si="41"/>
        <v>160.48711192515731</v>
      </c>
      <c r="AS23" s="368">
        <f t="shared" si="41"/>
        <v>12</v>
      </c>
      <c r="AT23" s="368">
        <f t="shared" si="41"/>
        <v>3189.0036405000278</v>
      </c>
      <c r="AU23" s="368">
        <f t="shared" si="41"/>
        <v>637.80072810000559</v>
      </c>
      <c r="AV23" s="368">
        <f t="shared" si="41"/>
        <v>4775.9050057216591</v>
      </c>
      <c r="AW23" s="368">
        <f t="shared" si="41"/>
        <v>2379.1507232744138</v>
      </c>
      <c r="AX23" s="368">
        <f t="shared" si="41"/>
        <v>1508.6561339723614</v>
      </c>
      <c r="AY23" s="368">
        <f t="shared" si="41"/>
        <v>0</v>
      </c>
      <c r="AZ23" s="368">
        <f t="shared" si="41"/>
        <v>880.16500477800764</v>
      </c>
      <c r="BB23" s="64"/>
      <c r="BC23" s="66"/>
      <c r="BD23" s="66"/>
      <c r="BE23" s="66"/>
    </row>
    <row r="24" spans="1:177" s="364" customFormat="1" ht="21" customHeight="1" x14ac:dyDescent="0.2">
      <c r="B24" s="365">
        <v>18</v>
      </c>
      <c r="C24" s="370" t="s">
        <v>66</v>
      </c>
      <c r="D24" s="365">
        <v>9083</v>
      </c>
      <c r="E24" s="367" t="s">
        <v>78</v>
      </c>
      <c r="F24" s="371" t="s">
        <v>79</v>
      </c>
      <c r="G24" s="55">
        <v>42079</v>
      </c>
      <c r="H24" s="55" t="str">
        <f t="shared" si="23"/>
        <v>9 AÑOS</v>
      </c>
      <c r="I24" s="57">
        <v>7276.9266610912764</v>
      </c>
      <c r="J24" s="58"/>
      <c r="K24" s="58"/>
      <c r="L24" s="59"/>
      <c r="M24" s="60">
        <v>4.0000000000000002E-4</v>
      </c>
      <c r="N24" s="61">
        <f t="shared" si="24"/>
        <v>291.07706644365106</v>
      </c>
      <c r="O24" s="58">
        <f t="shared" si="25"/>
        <v>7568.0037275349277</v>
      </c>
      <c r="P24" s="61">
        <f t="shared" si="26"/>
        <v>15136.007455069855</v>
      </c>
      <c r="Q24" s="61">
        <f t="shared" si="27"/>
        <v>11352.005591302392</v>
      </c>
      <c r="R24" s="61">
        <f t="shared" si="28"/>
        <v>3784.0018637674639</v>
      </c>
      <c r="S24" s="61">
        <f t="shared" si="29"/>
        <v>504.53358183566183</v>
      </c>
      <c r="T24" s="58">
        <f t="shared" si="30"/>
        <v>579.15409858915621</v>
      </c>
      <c r="U24" s="61">
        <f t="shared" si="31"/>
        <v>5676.0027956511958</v>
      </c>
      <c r="V24" s="58">
        <f t="shared" si="32"/>
        <v>1892.0009318837319</v>
      </c>
      <c r="W24" s="101">
        <v>2.5000000000000001E-2</v>
      </c>
      <c r="X24" s="63">
        <f t="shared" si="33"/>
        <v>378.40018637674643</v>
      </c>
      <c r="Y24" s="61">
        <v>941.2776946083826</v>
      </c>
      <c r="Z24" s="61">
        <v>0</v>
      </c>
      <c r="AA24" s="61">
        <f t="shared" si="34"/>
        <v>1892.0009318837319</v>
      </c>
      <c r="AB24" s="61">
        <f t="shared" si="35"/>
        <v>378.40018637674638</v>
      </c>
      <c r="AC24" s="61">
        <v>2403.4978942486346</v>
      </c>
      <c r="AD24" s="61">
        <v>1517.9918501071081</v>
      </c>
      <c r="AE24" s="61">
        <v>897.68885281319217</v>
      </c>
      <c r="AF24" s="61">
        <v>0</v>
      </c>
      <c r="AG24" s="61">
        <f t="shared" si="36"/>
        <v>522.19225719991005</v>
      </c>
      <c r="AH24" s="64"/>
      <c r="AI24" s="64"/>
      <c r="AJ24" s="365">
        <v>18</v>
      </c>
      <c r="AK24" s="370" t="s">
        <v>66</v>
      </c>
      <c r="AL24" s="365">
        <v>9083</v>
      </c>
      <c r="AM24" s="367" t="s">
        <v>78</v>
      </c>
      <c r="AN24" s="371" t="s">
        <v>79</v>
      </c>
      <c r="AO24" s="368">
        <f t="shared" ref="AO24:AO33" si="42">Q24*12</f>
        <v>136224.06709562871</v>
      </c>
      <c r="AP24" s="368">
        <f t="shared" ref="AP24:AP33" si="43">R24*12</f>
        <v>45408.022365209566</v>
      </c>
      <c r="AQ24" s="368">
        <f t="shared" ref="AQ24:AQ33" si="44">X24*12</f>
        <v>4540.8022365209572</v>
      </c>
      <c r="AR24" s="368">
        <f t="shared" ref="AR24:AR33" si="45">Y24*12</f>
        <v>11295.332335300591</v>
      </c>
      <c r="AS24" s="368">
        <f t="shared" ref="AS24:AS33" si="46">Z24*12</f>
        <v>0</v>
      </c>
      <c r="AT24" s="368">
        <f t="shared" ref="AT24:AT33" si="47">AA24*12</f>
        <v>22704.011182604783</v>
      </c>
      <c r="AU24" s="368">
        <f t="shared" ref="AU24:AU33" si="48">AB24*12</f>
        <v>4540.8022365209563</v>
      </c>
      <c r="AV24" s="368">
        <f t="shared" ref="AV24:AV33" si="49">AC24*12</f>
        <v>28841.974730983617</v>
      </c>
      <c r="AW24" s="368">
        <f t="shared" ref="AW24:AW33" si="50">AD24*12</f>
        <v>18215.902201285298</v>
      </c>
      <c r="AX24" s="368">
        <f t="shared" ref="AX24:AX33" si="51">AE24*12</f>
        <v>10772.266233758306</v>
      </c>
      <c r="AY24" s="368">
        <f t="shared" ref="AY24:AY33" si="52">AF24*12</f>
        <v>0</v>
      </c>
      <c r="AZ24" s="368">
        <f t="shared" ref="AZ24:AZ33" si="53">AG24*12</f>
        <v>6266.3070863989205</v>
      </c>
      <c r="BB24" s="64"/>
      <c r="BC24" s="66"/>
      <c r="BD24" s="66"/>
      <c r="BE24" s="66"/>
    </row>
    <row r="25" spans="1:177" s="364" customFormat="1" ht="21" customHeight="1" x14ac:dyDescent="0.2">
      <c r="B25" s="365">
        <v>19</v>
      </c>
      <c r="C25" s="372" t="s">
        <v>66</v>
      </c>
      <c r="D25" s="365">
        <v>1099</v>
      </c>
      <c r="E25" s="367" t="s">
        <v>80</v>
      </c>
      <c r="F25" s="371" t="s">
        <v>81</v>
      </c>
      <c r="G25" s="55">
        <v>43501</v>
      </c>
      <c r="H25" s="55" t="str">
        <f t="shared" si="23"/>
        <v>5 AÑOS</v>
      </c>
      <c r="I25" s="57">
        <v>4663.8913718766362</v>
      </c>
      <c r="J25" s="58"/>
      <c r="K25" s="58"/>
      <c r="L25" s="59"/>
      <c r="M25" s="60">
        <v>4.0000000000000002E-4</v>
      </c>
      <c r="N25" s="61">
        <f t="shared" si="24"/>
        <v>186.55565487506544</v>
      </c>
      <c r="O25" s="58">
        <f t="shared" si="25"/>
        <v>4850.4470267517017</v>
      </c>
      <c r="P25" s="61">
        <f t="shared" si="26"/>
        <v>9700.8940535034035</v>
      </c>
      <c r="Q25" s="61">
        <f t="shared" si="27"/>
        <v>7275.6705401275522</v>
      </c>
      <c r="R25" s="61">
        <f t="shared" si="28"/>
        <v>2425.2235133758509</v>
      </c>
      <c r="S25" s="61">
        <f t="shared" si="29"/>
        <v>323.36313511678014</v>
      </c>
      <c r="T25" s="58">
        <f t="shared" si="30"/>
        <v>371.18854280055189</v>
      </c>
      <c r="U25" s="61">
        <f t="shared" si="31"/>
        <v>3637.8352700637761</v>
      </c>
      <c r="V25" s="58">
        <f t="shared" si="32"/>
        <v>1212.6117566879254</v>
      </c>
      <c r="W25" s="101">
        <v>2.5000000000000001E-2</v>
      </c>
      <c r="X25" s="63">
        <f t="shared" si="33"/>
        <v>242.52235133758509</v>
      </c>
      <c r="Y25" s="61">
        <v>263.8322187658776</v>
      </c>
      <c r="Z25" s="61">
        <v>0</v>
      </c>
      <c r="AA25" s="61">
        <f t="shared" si="34"/>
        <v>1212.6117566879254</v>
      </c>
      <c r="AB25" s="61">
        <f t="shared" si="35"/>
        <v>242.52235133758509</v>
      </c>
      <c r="AC25" s="61">
        <v>1737.3602406291525</v>
      </c>
      <c r="AD25" s="61">
        <v>921.12292838670953</v>
      </c>
      <c r="AE25" s="61">
        <v>575.34224134085548</v>
      </c>
      <c r="AF25" s="61">
        <v>0</v>
      </c>
      <c r="AG25" s="61">
        <f t="shared" si="36"/>
        <v>334.68084484586745</v>
      </c>
      <c r="AH25" s="64"/>
      <c r="AI25" s="64"/>
      <c r="AJ25" s="365">
        <v>19</v>
      </c>
      <c r="AK25" s="372" t="s">
        <v>66</v>
      </c>
      <c r="AL25" s="365">
        <v>1099</v>
      </c>
      <c r="AM25" s="367" t="s">
        <v>80</v>
      </c>
      <c r="AN25" s="371" t="s">
        <v>81</v>
      </c>
      <c r="AO25" s="368">
        <f t="shared" si="42"/>
        <v>87308.046481530619</v>
      </c>
      <c r="AP25" s="368">
        <f t="shared" si="43"/>
        <v>29102.682160510209</v>
      </c>
      <c r="AQ25" s="368">
        <f t="shared" si="44"/>
        <v>2910.2682160510212</v>
      </c>
      <c r="AR25" s="368">
        <f t="shared" si="45"/>
        <v>3165.9866251905314</v>
      </c>
      <c r="AS25" s="368">
        <f t="shared" si="46"/>
        <v>0</v>
      </c>
      <c r="AT25" s="368">
        <f t="shared" si="47"/>
        <v>14551.341080255104</v>
      </c>
      <c r="AU25" s="368">
        <f t="shared" si="48"/>
        <v>2910.2682160510212</v>
      </c>
      <c r="AV25" s="368">
        <f t="shared" si="49"/>
        <v>20848.322887549832</v>
      </c>
      <c r="AW25" s="368">
        <f t="shared" si="50"/>
        <v>11053.475140640514</v>
      </c>
      <c r="AX25" s="368">
        <f t="shared" si="51"/>
        <v>6904.1068960902658</v>
      </c>
      <c r="AY25" s="368">
        <f t="shared" si="52"/>
        <v>0</v>
      </c>
      <c r="AZ25" s="368">
        <f t="shared" si="53"/>
        <v>4016.1701381504095</v>
      </c>
      <c r="BB25" s="64"/>
      <c r="BC25" s="66"/>
      <c r="BD25" s="66"/>
      <c r="BE25" s="66"/>
    </row>
    <row r="26" spans="1:177" s="364" customFormat="1" ht="21" customHeight="1" x14ac:dyDescent="0.2">
      <c r="B26" s="365">
        <v>20</v>
      </c>
      <c r="C26" s="372" t="s">
        <v>66</v>
      </c>
      <c r="D26" s="365">
        <v>1005</v>
      </c>
      <c r="E26" s="367" t="s">
        <v>82</v>
      </c>
      <c r="F26" s="371" t="s">
        <v>83</v>
      </c>
      <c r="G26" s="362">
        <v>35797</v>
      </c>
      <c r="H26" s="56" t="str">
        <f t="shared" si="23"/>
        <v>26 AÑOS</v>
      </c>
      <c r="I26" s="57">
        <v>6473.7189041991969</v>
      </c>
      <c r="J26" s="58"/>
      <c r="K26" s="58"/>
      <c r="L26" s="59"/>
      <c r="M26" s="60">
        <v>4.0000000000000002E-4</v>
      </c>
      <c r="N26" s="61">
        <f t="shared" si="24"/>
        <v>258.94875616796787</v>
      </c>
      <c r="O26" s="58">
        <f t="shared" si="25"/>
        <v>6732.6676603671649</v>
      </c>
      <c r="P26" s="61">
        <f t="shared" si="26"/>
        <v>13465.33532073433</v>
      </c>
      <c r="Q26" s="61">
        <f t="shared" si="27"/>
        <v>10099.001490550747</v>
      </c>
      <c r="R26" s="61">
        <f t="shared" si="28"/>
        <v>3366.3338301835824</v>
      </c>
      <c r="S26" s="61">
        <f t="shared" si="29"/>
        <v>448.84451069114431</v>
      </c>
      <c r="T26" s="58">
        <f t="shared" si="30"/>
        <v>515.22861382236454</v>
      </c>
      <c r="U26" s="61">
        <f t="shared" si="31"/>
        <v>5049.5007452753734</v>
      </c>
      <c r="V26" s="58">
        <f t="shared" si="32"/>
        <v>1683.1669150917912</v>
      </c>
      <c r="W26" s="101">
        <v>7.4999999999999997E-2</v>
      </c>
      <c r="X26" s="63">
        <f t="shared" si="33"/>
        <v>1009.9001490550747</v>
      </c>
      <c r="Y26" s="61">
        <v>785.81062617192117</v>
      </c>
      <c r="Z26" s="61">
        <v>0</v>
      </c>
      <c r="AA26" s="61">
        <f t="shared" si="34"/>
        <v>1683.1669150917912</v>
      </c>
      <c r="AB26" s="61">
        <f t="shared" si="35"/>
        <v>336.63338301835824</v>
      </c>
      <c r="AC26" s="61">
        <v>2198.7371959322072</v>
      </c>
      <c r="AD26" s="61">
        <v>1350.4399582591086</v>
      </c>
      <c r="AE26" s="61">
        <v>798.60435142466508</v>
      </c>
      <c r="AF26" s="61">
        <v>0</v>
      </c>
      <c r="AG26" s="61">
        <f t="shared" si="36"/>
        <v>464.55406856533432</v>
      </c>
      <c r="AH26" s="64"/>
      <c r="AI26" s="64"/>
      <c r="AJ26" s="365">
        <v>20</v>
      </c>
      <c r="AK26" s="372" t="s">
        <v>66</v>
      </c>
      <c r="AL26" s="365">
        <v>1005</v>
      </c>
      <c r="AM26" s="367" t="s">
        <v>82</v>
      </c>
      <c r="AN26" s="371" t="s">
        <v>83</v>
      </c>
      <c r="AO26" s="368">
        <f t="shared" si="42"/>
        <v>121188.01788660896</v>
      </c>
      <c r="AP26" s="368">
        <f t="shared" si="43"/>
        <v>40396.005962202988</v>
      </c>
      <c r="AQ26" s="368">
        <f t="shared" si="44"/>
        <v>12118.801788660898</v>
      </c>
      <c r="AR26" s="368">
        <f t="shared" si="45"/>
        <v>9429.7275140630536</v>
      </c>
      <c r="AS26" s="368">
        <f t="shared" si="46"/>
        <v>0</v>
      </c>
      <c r="AT26" s="368">
        <f t="shared" si="47"/>
        <v>20198.002981101494</v>
      </c>
      <c r="AU26" s="368">
        <f t="shared" si="48"/>
        <v>4039.6005962202989</v>
      </c>
      <c r="AV26" s="368">
        <f t="shared" si="49"/>
        <v>26384.846351186487</v>
      </c>
      <c r="AW26" s="368">
        <f t="shared" si="50"/>
        <v>16205.279499109303</v>
      </c>
      <c r="AX26" s="368">
        <f t="shared" si="51"/>
        <v>9583.2522170959819</v>
      </c>
      <c r="AY26" s="368">
        <f t="shared" si="52"/>
        <v>0</v>
      </c>
      <c r="AZ26" s="368">
        <f t="shared" si="53"/>
        <v>5574.6488227840118</v>
      </c>
      <c r="BB26" s="64"/>
      <c r="BC26" s="66"/>
      <c r="BD26" s="66"/>
      <c r="BE26" s="66"/>
    </row>
    <row r="27" spans="1:177" s="364" customFormat="1" ht="21" customHeight="1" x14ac:dyDescent="0.2">
      <c r="B27" s="365">
        <v>21</v>
      </c>
      <c r="C27" s="366" t="s">
        <v>66</v>
      </c>
      <c r="D27" s="369">
        <v>16536</v>
      </c>
      <c r="E27" s="370" t="s">
        <v>84</v>
      </c>
      <c r="F27" s="381" t="s">
        <v>85</v>
      </c>
      <c r="G27" s="105">
        <v>43698</v>
      </c>
      <c r="H27" s="56" t="str">
        <f t="shared" si="23"/>
        <v>5 AÑOS</v>
      </c>
      <c r="I27" s="57">
        <v>5744.5518493346244</v>
      </c>
      <c r="J27" s="58"/>
      <c r="K27" s="58"/>
      <c r="L27" s="59"/>
      <c r="M27" s="60">
        <v>4.0000000000000002E-4</v>
      </c>
      <c r="N27" s="61">
        <f t="shared" si="24"/>
        <v>229.78207397338497</v>
      </c>
      <c r="O27" s="58">
        <f t="shared" si="25"/>
        <v>5974.3339233080096</v>
      </c>
      <c r="P27" s="61">
        <f t="shared" si="26"/>
        <v>11948.667846616019</v>
      </c>
      <c r="Q27" s="61">
        <f t="shared" si="27"/>
        <v>8961.5008849620135</v>
      </c>
      <c r="R27" s="61">
        <f t="shared" si="28"/>
        <v>2987.1669616540048</v>
      </c>
      <c r="S27" s="61">
        <f t="shared" si="29"/>
        <v>398.28892822053399</v>
      </c>
      <c r="T27" s="58">
        <f t="shared" si="30"/>
        <v>457.19586070435093</v>
      </c>
      <c r="U27" s="61">
        <f t="shared" si="31"/>
        <v>4480.7504424810068</v>
      </c>
      <c r="V27" s="58">
        <f t="shared" si="32"/>
        <v>1493.5834808270024</v>
      </c>
      <c r="W27" s="101">
        <v>2.5000000000000001E-2</v>
      </c>
      <c r="X27" s="63">
        <f t="shared" si="33"/>
        <v>298.71669616540049</v>
      </c>
      <c r="Y27" s="61">
        <v>662.05056028386707</v>
      </c>
      <c r="Z27" s="61">
        <v>0</v>
      </c>
      <c r="AA27" s="61">
        <f t="shared" si="34"/>
        <v>1493.5834808270026</v>
      </c>
      <c r="AB27" s="61">
        <f t="shared" si="35"/>
        <v>298.71669616540049</v>
      </c>
      <c r="AC27" s="61">
        <v>2012.8515965187753</v>
      </c>
      <c r="AD27" s="61">
        <v>1198.333210699139</v>
      </c>
      <c r="AE27" s="61">
        <v>708.65358409174405</v>
      </c>
      <c r="AF27" s="61">
        <v>0</v>
      </c>
      <c r="AG27" s="61">
        <f t="shared" si="36"/>
        <v>412.22904070825263</v>
      </c>
      <c r="AH27" s="64"/>
      <c r="AI27" s="64"/>
      <c r="AJ27" s="365">
        <v>21</v>
      </c>
      <c r="AK27" s="366" t="s">
        <v>66</v>
      </c>
      <c r="AL27" s="369">
        <v>16536</v>
      </c>
      <c r="AM27" s="370" t="s">
        <v>84</v>
      </c>
      <c r="AN27" s="381" t="s">
        <v>85</v>
      </c>
      <c r="AO27" s="368">
        <f t="shared" si="42"/>
        <v>107538.01061954416</v>
      </c>
      <c r="AP27" s="368">
        <f t="shared" si="43"/>
        <v>35846.003539848054</v>
      </c>
      <c r="AQ27" s="368">
        <f t="shared" si="44"/>
        <v>3584.6003539848061</v>
      </c>
      <c r="AR27" s="368">
        <f t="shared" si="45"/>
        <v>7944.6067234064049</v>
      </c>
      <c r="AS27" s="368">
        <f t="shared" si="46"/>
        <v>0</v>
      </c>
      <c r="AT27" s="368">
        <f t="shared" si="47"/>
        <v>17923.001769924031</v>
      </c>
      <c r="AU27" s="368">
        <f t="shared" si="48"/>
        <v>3584.6003539848061</v>
      </c>
      <c r="AV27" s="368">
        <f t="shared" si="49"/>
        <v>24154.219158225304</v>
      </c>
      <c r="AW27" s="368">
        <f t="shared" si="50"/>
        <v>14379.998528389668</v>
      </c>
      <c r="AX27" s="368">
        <f t="shared" si="51"/>
        <v>8503.8430091009286</v>
      </c>
      <c r="AY27" s="368">
        <f t="shared" si="52"/>
        <v>0</v>
      </c>
      <c r="AZ27" s="368">
        <f t="shared" si="53"/>
        <v>4946.7484884990317</v>
      </c>
      <c r="BB27" s="64"/>
      <c r="BC27" s="66"/>
      <c r="BD27" s="66"/>
      <c r="BE27" s="66"/>
    </row>
    <row r="28" spans="1:177" s="364" customFormat="1" ht="21" customHeight="1" x14ac:dyDescent="0.2">
      <c r="B28" s="365">
        <v>22</v>
      </c>
      <c r="C28" s="372" t="s">
        <v>66</v>
      </c>
      <c r="D28" s="365">
        <v>9056</v>
      </c>
      <c r="E28" s="367" t="s">
        <v>86</v>
      </c>
      <c r="F28" s="371" t="s">
        <v>87</v>
      </c>
      <c r="G28" s="362">
        <v>40102</v>
      </c>
      <c r="H28" s="56" t="str">
        <f t="shared" si="23"/>
        <v>15 AÑOS</v>
      </c>
      <c r="I28" s="57">
        <v>6473.8734719697559</v>
      </c>
      <c r="J28" s="58"/>
      <c r="K28" s="58"/>
      <c r="L28" s="59"/>
      <c r="M28" s="60">
        <v>4.0000000000000002E-4</v>
      </c>
      <c r="N28" s="61">
        <f t="shared" si="24"/>
        <v>258.95493887879024</v>
      </c>
      <c r="O28" s="58">
        <f t="shared" si="25"/>
        <v>6732.8284108485459</v>
      </c>
      <c r="P28" s="61">
        <f t="shared" si="26"/>
        <v>13465.656821697092</v>
      </c>
      <c r="Q28" s="61">
        <f t="shared" si="27"/>
        <v>10099.242616272819</v>
      </c>
      <c r="R28" s="61">
        <f t="shared" si="28"/>
        <v>3366.414205424273</v>
      </c>
      <c r="S28" s="61">
        <f t="shared" si="29"/>
        <v>448.85522738990306</v>
      </c>
      <c r="T28" s="58">
        <f t="shared" si="30"/>
        <v>515.24091552086963</v>
      </c>
      <c r="U28" s="61">
        <f t="shared" si="31"/>
        <v>5049.6213081364094</v>
      </c>
      <c r="V28" s="58">
        <f t="shared" si="32"/>
        <v>1683.2071027121365</v>
      </c>
      <c r="W28" s="101">
        <v>7.4999999999999997E-2</v>
      </c>
      <c r="X28" s="63">
        <f t="shared" si="33"/>
        <v>1009.9242616272818</v>
      </c>
      <c r="Y28" s="61">
        <v>785.83686065048255</v>
      </c>
      <c r="Z28" s="61">
        <v>0</v>
      </c>
      <c r="AA28" s="61">
        <f t="shared" si="34"/>
        <v>1683.2071027121365</v>
      </c>
      <c r="AB28" s="61">
        <f t="shared" si="35"/>
        <v>336.64142054242728</v>
      </c>
      <c r="AC28" s="61">
        <v>2198.7765996909047</v>
      </c>
      <c r="AD28" s="61">
        <v>1350.4722016259752</v>
      </c>
      <c r="AE28" s="61">
        <v>798.62341905734797</v>
      </c>
      <c r="AF28" s="61">
        <v>0</v>
      </c>
      <c r="AG28" s="61">
        <f t="shared" si="36"/>
        <v>464.56516034854968</v>
      </c>
      <c r="AH28" s="64"/>
      <c r="AI28" s="64"/>
      <c r="AJ28" s="365">
        <v>22</v>
      </c>
      <c r="AK28" s="372" t="s">
        <v>66</v>
      </c>
      <c r="AL28" s="365">
        <v>9056</v>
      </c>
      <c r="AM28" s="367" t="s">
        <v>86</v>
      </c>
      <c r="AN28" s="371" t="s">
        <v>87</v>
      </c>
      <c r="AO28" s="368">
        <f t="shared" si="42"/>
        <v>121190.91139527383</v>
      </c>
      <c r="AP28" s="368">
        <f t="shared" si="43"/>
        <v>40396.970465091275</v>
      </c>
      <c r="AQ28" s="368">
        <f t="shared" si="44"/>
        <v>12119.091139527382</v>
      </c>
      <c r="AR28" s="368">
        <f t="shared" si="45"/>
        <v>9430.0423278057897</v>
      </c>
      <c r="AS28" s="368">
        <f t="shared" si="46"/>
        <v>0</v>
      </c>
      <c r="AT28" s="368">
        <f t="shared" si="47"/>
        <v>20198.485232545638</v>
      </c>
      <c r="AU28" s="368">
        <f t="shared" si="48"/>
        <v>4039.6970465091272</v>
      </c>
      <c r="AV28" s="368">
        <f t="shared" si="49"/>
        <v>26385.319196290857</v>
      </c>
      <c r="AW28" s="368">
        <f t="shared" si="50"/>
        <v>16205.666419511703</v>
      </c>
      <c r="AX28" s="368">
        <f t="shared" si="51"/>
        <v>9583.4810286881766</v>
      </c>
      <c r="AY28" s="368">
        <f t="shared" si="52"/>
        <v>0</v>
      </c>
      <c r="AZ28" s="368">
        <f t="shared" si="53"/>
        <v>5574.7819241825964</v>
      </c>
      <c r="BB28" s="64"/>
      <c r="BC28" s="66"/>
      <c r="BD28" s="66"/>
      <c r="BE28" s="66"/>
    </row>
    <row r="29" spans="1:177" s="364" customFormat="1" ht="21" customHeight="1" x14ac:dyDescent="0.2">
      <c r="B29" s="365">
        <v>23</v>
      </c>
      <c r="C29" s="382" t="s">
        <v>66</v>
      </c>
      <c r="D29" s="380">
        <v>1107</v>
      </c>
      <c r="E29" s="367" t="s">
        <v>88</v>
      </c>
      <c r="F29" s="106" t="s">
        <v>89</v>
      </c>
      <c r="G29" s="107">
        <v>44501</v>
      </c>
      <c r="H29" s="56" t="str">
        <f t="shared" si="23"/>
        <v>3 AÑOS</v>
      </c>
      <c r="I29" s="57">
        <v>3379.4815055769959</v>
      </c>
      <c r="J29" s="58">
        <v>4014.66</v>
      </c>
      <c r="K29" s="108">
        <f>J29-I29</f>
        <v>635.17849442300394</v>
      </c>
      <c r="L29" s="109">
        <f>K29*100/I29</f>
        <v>18.795146337531346</v>
      </c>
      <c r="M29" s="60">
        <v>1.8799999999999999E-3</v>
      </c>
      <c r="N29" s="61">
        <f>I29*0.188</f>
        <v>635.34252304847519</v>
      </c>
      <c r="O29" s="58">
        <f t="shared" si="25"/>
        <v>4014.8240286254713</v>
      </c>
      <c r="P29" s="61">
        <f t="shared" si="26"/>
        <v>8029.6480572509427</v>
      </c>
      <c r="Q29" s="61">
        <f t="shared" si="27"/>
        <v>6022.236042938207</v>
      </c>
      <c r="R29" s="61">
        <f t="shared" si="28"/>
        <v>2007.4120143127357</v>
      </c>
      <c r="S29" s="61">
        <f t="shared" si="29"/>
        <v>267.65493524169807</v>
      </c>
      <c r="T29" s="58">
        <f t="shared" si="30"/>
        <v>307.24110016394519</v>
      </c>
      <c r="U29" s="61">
        <f t="shared" si="31"/>
        <v>3011.1180214691035</v>
      </c>
      <c r="V29" s="58">
        <f t="shared" si="32"/>
        <v>1003.7060071563678</v>
      </c>
      <c r="W29" s="101">
        <v>0</v>
      </c>
      <c r="X29" s="63">
        <f t="shared" si="33"/>
        <v>0</v>
      </c>
      <c r="Y29" s="61">
        <v>61.71</v>
      </c>
      <c r="Z29" s="61">
        <v>0</v>
      </c>
      <c r="AA29" s="61">
        <f t="shared" si="34"/>
        <v>1003.7060071563678</v>
      </c>
      <c r="AB29" s="61">
        <f t="shared" si="35"/>
        <v>200.74120143127357</v>
      </c>
      <c r="AC29" s="61">
        <v>1544.8697971477309</v>
      </c>
      <c r="AD29" s="61">
        <v>734.81317720709956</v>
      </c>
      <c r="AE29" s="61">
        <v>476.22370525411509</v>
      </c>
      <c r="AF29" s="61">
        <v>0</v>
      </c>
      <c r="AG29" s="61">
        <f t="shared" si="36"/>
        <v>277.02285797515754</v>
      </c>
      <c r="AH29" s="64"/>
      <c r="AI29" s="64"/>
      <c r="AJ29" s="365">
        <v>23</v>
      </c>
      <c r="AK29" s="382" t="s">
        <v>66</v>
      </c>
      <c r="AL29" s="380">
        <v>1107</v>
      </c>
      <c r="AM29" s="367" t="s">
        <v>88</v>
      </c>
      <c r="AN29" s="106" t="s">
        <v>89</v>
      </c>
      <c r="AO29" s="368">
        <f t="shared" si="42"/>
        <v>72266.832515258488</v>
      </c>
      <c r="AP29" s="368">
        <f t="shared" si="43"/>
        <v>24088.944171752828</v>
      </c>
      <c r="AQ29" s="368">
        <f t="shared" si="44"/>
        <v>0</v>
      </c>
      <c r="AR29" s="368">
        <f t="shared" si="45"/>
        <v>740.52</v>
      </c>
      <c r="AS29" s="368">
        <f t="shared" si="46"/>
        <v>0</v>
      </c>
      <c r="AT29" s="368">
        <f t="shared" si="47"/>
        <v>12044.472085876414</v>
      </c>
      <c r="AU29" s="368">
        <f t="shared" si="48"/>
        <v>2408.8944171752828</v>
      </c>
      <c r="AV29" s="368">
        <f t="shared" si="49"/>
        <v>18538.437565772772</v>
      </c>
      <c r="AW29" s="368">
        <f t="shared" si="50"/>
        <v>8817.7581264851942</v>
      </c>
      <c r="AX29" s="368">
        <f t="shared" si="51"/>
        <v>5714.6844630493815</v>
      </c>
      <c r="AY29" s="368">
        <f t="shared" si="52"/>
        <v>0</v>
      </c>
      <c r="AZ29" s="368">
        <f t="shared" si="53"/>
        <v>3324.2742957018904</v>
      </c>
      <c r="BB29" s="64"/>
      <c r="BC29" s="66"/>
      <c r="BD29" s="66"/>
      <c r="BE29" s="66"/>
    </row>
    <row r="30" spans="1:177" ht="21" customHeight="1" x14ac:dyDescent="0.2">
      <c r="B30" s="67">
        <v>24</v>
      </c>
      <c r="C30" s="71" t="s">
        <v>66</v>
      </c>
      <c r="D30" s="67">
        <v>1101</v>
      </c>
      <c r="E30" s="73" t="s">
        <v>90</v>
      </c>
      <c r="F30" s="72" t="s">
        <v>91</v>
      </c>
      <c r="G30" s="110">
        <v>38817</v>
      </c>
      <c r="H30" s="56" t="str">
        <f t="shared" si="23"/>
        <v>18 AÑOS</v>
      </c>
      <c r="I30" s="57">
        <v>8193.6996702085125</v>
      </c>
      <c r="J30" s="58"/>
      <c r="K30" s="58"/>
      <c r="L30" s="59"/>
      <c r="M30" s="60">
        <v>4.0000000000000002E-4</v>
      </c>
      <c r="N30" s="61">
        <f>I30*0.04</f>
        <v>327.7479868083405</v>
      </c>
      <c r="O30" s="58">
        <f t="shared" si="25"/>
        <v>8521.4476570168536</v>
      </c>
      <c r="P30" s="61">
        <f t="shared" si="26"/>
        <v>17042.895314033707</v>
      </c>
      <c r="Q30" s="61">
        <f t="shared" si="27"/>
        <v>12782.171485525279</v>
      </c>
      <c r="R30" s="61">
        <f t="shared" si="28"/>
        <v>4260.7238285084268</v>
      </c>
      <c r="S30" s="61">
        <f t="shared" si="29"/>
        <v>568.09651046779027</v>
      </c>
      <c r="T30" s="58">
        <f t="shared" si="30"/>
        <v>652.11798436597644</v>
      </c>
      <c r="U30" s="61">
        <f t="shared" si="31"/>
        <v>6391.0857427626397</v>
      </c>
      <c r="V30" s="58">
        <f t="shared" si="32"/>
        <v>2130.3619142542134</v>
      </c>
      <c r="W30" s="101">
        <v>7.4999999999999997E-2</v>
      </c>
      <c r="X30" s="63">
        <f t="shared" si="33"/>
        <v>1278.217148552528</v>
      </c>
      <c r="Y30" s="61">
        <v>1170.2660262061299</v>
      </c>
      <c r="Z30" s="61">
        <v>0</v>
      </c>
      <c r="AA30" s="61">
        <f t="shared" si="34"/>
        <v>2130.3619142542134</v>
      </c>
      <c r="AB30" s="61">
        <f t="shared" si="35"/>
        <v>426.07238285084276</v>
      </c>
      <c r="AC30" s="61">
        <v>2637.2096331278199</v>
      </c>
      <c r="AD30" s="61">
        <v>1709.2338429224424</v>
      </c>
      <c r="AE30" s="61">
        <v>1010.7828757672635</v>
      </c>
      <c r="AF30" s="61">
        <v>0</v>
      </c>
      <c r="AG30" s="61">
        <f t="shared" si="36"/>
        <v>587.97988833416275</v>
      </c>
      <c r="AH30" s="64"/>
      <c r="AI30" s="64"/>
      <c r="AJ30" s="67">
        <v>24</v>
      </c>
      <c r="AK30" s="71" t="s">
        <v>66</v>
      </c>
      <c r="AL30" s="67">
        <v>1101</v>
      </c>
      <c r="AM30" s="73" t="s">
        <v>90</v>
      </c>
      <c r="AN30" s="72" t="s">
        <v>91</v>
      </c>
      <c r="AO30" s="65">
        <f t="shared" si="42"/>
        <v>153386.05782630335</v>
      </c>
      <c r="AP30" s="65">
        <f t="shared" si="43"/>
        <v>51128.685942101118</v>
      </c>
      <c r="AQ30" s="65">
        <f t="shared" si="44"/>
        <v>15338.605782630337</v>
      </c>
      <c r="AR30" s="65">
        <f t="shared" si="45"/>
        <v>14043.192314473559</v>
      </c>
      <c r="AS30" s="65">
        <f t="shared" si="46"/>
        <v>0</v>
      </c>
      <c r="AT30" s="65">
        <f t="shared" si="47"/>
        <v>25564.342971050559</v>
      </c>
      <c r="AU30" s="65">
        <f t="shared" si="48"/>
        <v>5112.8685942101129</v>
      </c>
      <c r="AV30" s="65">
        <f t="shared" si="49"/>
        <v>31646.515597533838</v>
      </c>
      <c r="AW30" s="65">
        <f t="shared" si="50"/>
        <v>20510.80611506931</v>
      </c>
      <c r="AX30" s="65">
        <f t="shared" si="51"/>
        <v>12129.394509207163</v>
      </c>
      <c r="AY30" s="65">
        <f t="shared" si="52"/>
        <v>0</v>
      </c>
      <c r="AZ30" s="65">
        <f t="shared" si="53"/>
        <v>7055.758660009953</v>
      </c>
      <c r="BB30" s="64"/>
      <c r="BC30" s="66"/>
      <c r="BD30" s="66"/>
      <c r="BE30" s="66"/>
    </row>
    <row r="31" spans="1:177" ht="21" customHeight="1" x14ac:dyDescent="0.2">
      <c r="B31" s="67">
        <v>25</v>
      </c>
      <c r="C31" s="111" t="s">
        <v>66</v>
      </c>
      <c r="D31" s="67">
        <v>14056</v>
      </c>
      <c r="E31" s="73" t="s">
        <v>92</v>
      </c>
      <c r="F31" s="72" t="s">
        <v>93</v>
      </c>
      <c r="G31" s="105">
        <v>39600</v>
      </c>
      <c r="H31" s="56" t="str">
        <f t="shared" si="23"/>
        <v>16 AÑOS</v>
      </c>
      <c r="I31" s="57">
        <v>8080.4385481449935</v>
      </c>
      <c r="J31" s="58"/>
      <c r="K31" s="58"/>
      <c r="L31" s="59"/>
      <c r="M31" s="60">
        <v>4.0000000000000002E-4</v>
      </c>
      <c r="N31" s="61">
        <f>I31*0.04</f>
        <v>323.21754192579976</v>
      </c>
      <c r="O31" s="58">
        <f t="shared" si="25"/>
        <v>8403.6560900707937</v>
      </c>
      <c r="P31" s="61">
        <f t="shared" si="26"/>
        <v>16807.312180141587</v>
      </c>
      <c r="Q31" s="61">
        <f t="shared" si="27"/>
        <v>12605.484135106191</v>
      </c>
      <c r="R31" s="61">
        <f t="shared" si="28"/>
        <v>4201.8280450353968</v>
      </c>
      <c r="S31" s="61">
        <f t="shared" si="29"/>
        <v>560.24373933805293</v>
      </c>
      <c r="T31" s="58">
        <f t="shared" si="30"/>
        <v>643.10378838615088</v>
      </c>
      <c r="U31" s="61">
        <f t="shared" si="31"/>
        <v>6302.7420675530957</v>
      </c>
      <c r="V31" s="58">
        <f t="shared" si="32"/>
        <v>2100.9140225176984</v>
      </c>
      <c r="W31" s="101">
        <v>7.4999999999999997E-2</v>
      </c>
      <c r="X31" s="63">
        <f t="shared" si="33"/>
        <v>1260.548413510619</v>
      </c>
      <c r="Y31" s="61">
        <v>1141.8342616169905</v>
      </c>
      <c r="Z31" s="61">
        <v>0</v>
      </c>
      <c r="AA31" s="61">
        <f t="shared" si="34"/>
        <v>2100.9140225176984</v>
      </c>
      <c r="AB31" s="61">
        <f t="shared" si="35"/>
        <v>420.18280450353973</v>
      </c>
      <c r="AC31" s="61">
        <v>2608.3361240676422</v>
      </c>
      <c r="AD31" s="61">
        <v>1685.6071845495208</v>
      </c>
      <c r="AE31" s="61">
        <v>996.81087199853391</v>
      </c>
      <c r="AF31" s="61">
        <v>0</v>
      </c>
      <c r="AG31" s="61">
        <f t="shared" si="36"/>
        <v>579.85227021488481</v>
      </c>
      <c r="AH31" s="64"/>
      <c r="AI31" s="64"/>
      <c r="AJ31" s="67">
        <v>25</v>
      </c>
      <c r="AK31" s="111" t="s">
        <v>66</v>
      </c>
      <c r="AL31" s="67">
        <v>14056</v>
      </c>
      <c r="AM31" s="73" t="s">
        <v>92</v>
      </c>
      <c r="AN31" s="72" t="s">
        <v>93</v>
      </c>
      <c r="AO31" s="65">
        <f t="shared" si="42"/>
        <v>151265.8096212743</v>
      </c>
      <c r="AP31" s="65">
        <f t="shared" si="43"/>
        <v>50421.936540424766</v>
      </c>
      <c r="AQ31" s="65">
        <f t="shared" si="44"/>
        <v>15126.580962127427</v>
      </c>
      <c r="AR31" s="65">
        <f t="shared" si="45"/>
        <v>13702.011139403887</v>
      </c>
      <c r="AS31" s="65">
        <f t="shared" si="46"/>
        <v>0</v>
      </c>
      <c r="AT31" s="65">
        <f t="shared" si="47"/>
        <v>25210.968270212383</v>
      </c>
      <c r="AU31" s="65">
        <f t="shared" si="48"/>
        <v>5042.1936540424767</v>
      </c>
      <c r="AV31" s="65">
        <f t="shared" si="49"/>
        <v>31300.033488811707</v>
      </c>
      <c r="AW31" s="65">
        <f t="shared" si="50"/>
        <v>20227.286214594249</v>
      </c>
      <c r="AX31" s="65">
        <f t="shared" si="51"/>
        <v>11961.730463982407</v>
      </c>
      <c r="AY31" s="65">
        <f t="shared" si="52"/>
        <v>0</v>
      </c>
      <c r="AZ31" s="65">
        <f t="shared" si="53"/>
        <v>6958.2272425786177</v>
      </c>
      <c r="BB31" s="64"/>
      <c r="BC31" s="66"/>
      <c r="BD31" s="66"/>
      <c r="BE31" s="66"/>
    </row>
    <row r="32" spans="1:177" s="103" customFormat="1" ht="21" customHeight="1" x14ac:dyDescent="0.2">
      <c r="A32" s="50"/>
      <c r="B32" s="67">
        <v>26</v>
      </c>
      <c r="C32" s="73" t="s">
        <v>66</v>
      </c>
      <c r="D32" s="67">
        <v>11158</v>
      </c>
      <c r="E32" s="112" t="s">
        <v>94</v>
      </c>
      <c r="F32" s="79" t="s">
        <v>95</v>
      </c>
      <c r="G32" s="55">
        <v>41441</v>
      </c>
      <c r="H32" s="56" t="str">
        <f t="shared" si="23"/>
        <v>11 AÑOS</v>
      </c>
      <c r="I32" s="57">
        <v>5667.1014626780252</v>
      </c>
      <c r="J32" s="58"/>
      <c r="K32" s="58"/>
      <c r="L32" s="59"/>
      <c r="M32" s="60">
        <v>4.0000000000000002E-4</v>
      </c>
      <c r="N32" s="61">
        <f>I32*0.04</f>
        <v>226.68405850712102</v>
      </c>
      <c r="O32" s="58">
        <f t="shared" si="25"/>
        <v>5893.7855211851465</v>
      </c>
      <c r="P32" s="61">
        <f t="shared" si="26"/>
        <v>11787.571042370293</v>
      </c>
      <c r="Q32" s="61">
        <f t="shared" si="27"/>
        <v>8840.6782817777203</v>
      </c>
      <c r="R32" s="61">
        <f t="shared" si="28"/>
        <v>2946.8927605925733</v>
      </c>
      <c r="S32" s="61">
        <f t="shared" si="29"/>
        <v>392.91903474567641</v>
      </c>
      <c r="T32" s="58">
        <f t="shared" si="30"/>
        <v>451.03175998456192</v>
      </c>
      <c r="U32" s="61">
        <f t="shared" si="31"/>
        <v>4420.3391408888601</v>
      </c>
      <c r="V32" s="58">
        <f t="shared" si="32"/>
        <v>1473.4463802962866</v>
      </c>
      <c r="W32" s="101">
        <v>0.05</v>
      </c>
      <c r="X32" s="63">
        <f t="shared" si="33"/>
        <v>589.37855211851468</v>
      </c>
      <c r="Y32" s="61">
        <v>648.90506105741588</v>
      </c>
      <c r="Z32" s="61">
        <v>0</v>
      </c>
      <c r="AA32" s="61">
        <f t="shared" si="34"/>
        <v>1473.4463802962864</v>
      </c>
      <c r="AB32" s="61">
        <f t="shared" si="35"/>
        <v>294.68927605925734</v>
      </c>
      <c r="AC32" s="61">
        <v>1993.107271192478</v>
      </c>
      <c r="AD32" s="61">
        <v>1182.176794507536</v>
      </c>
      <c r="AE32" s="61">
        <v>699.09922797607101</v>
      </c>
      <c r="AF32" s="61">
        <v>0</v>
      </c>
      <c r="AG32" s="61">
        <f t="shared" si="36"/>
        <v>406.67120096177513</v>
      </c>
      <c r="AH32" s="64"/>
      <c r="AI32" s="64"/>
      <c r="AJ32" s="67">
        <v>26</v>
      </c>
      <c r="AK32" s="73" t="s">
        <v>66</v>
      </c>
      <c r="AL32" s="67">
        <v>11158</v>
      </c>
      <c r="AM32" s="112" t="s">
        <v>94</v>
      </c>
      <c r="AN32" s="79" t="s">
        <v>95</v>
      </c>
      <c r="AO32" s="65">
        <f t="shared" si="42"/>
        <v>106088.13938133264</v>
      </c>
      <c r="AP32" s="65">
        <f t="shared" si="43"/>
        <v>35362.713127110881</v>
      </c>
      <c r="AQ32" s="65">
        <f t="shared" si="44"/>
        <v>7072.5426254221766</v>
      </c>
      <c r="AR32" s="65">
        <f t="shared" si="45"/>
        <v>7786.8607326889905</v>
      </c>
      <c r="AS32" s="65">
        <f t="shared" si="46"/>
        <v>0</v>
      </c>
      <c r="AT32" s="65">
        <f t="shared" si="47"/>
        <v>17681.356563555437</v>
      </c>
      <c r="AU32" s="65">
        <f t="shared" si="48"/>
        <v>3536.2713127110883</v>
      </c>
      <c r="AV32" s="65">
        <f t="shared" si="49"/>
        <v>23917.287254309736</v>
      </c>
      <c r="AW32" s="65">
        <f t="shared" si="50"/>
        <v>14186.121534090431</v>
      </c>
      <c r="AX32" s="65">
        <f t="shared" si="51"/>
        <v>8389.1907357128512</v>
      </c>
      <c r="AY32" s="65">
        <f t="shared" si="52"/>
        <v>0</v>
      </c>
      <c r="AZ32" s="65">
        <f t="shared" si="53"/>
        <v>4880.0544115413013</v>
      </c>
      <c r="BA32" s="50"/>
      <c r="BB32" s="64"/>
      <c r="BC32" s="66"/>
      <c r="BD32" s="66"/>
      <c r="BE32" s="66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</row>
    <row r="33" spans="1:177" ht="21" customHeight="1" x14ac:dyDescent="0.2">
      <c r="B33" s="67">
        <v>27</v>
      </c>
      <c r="C33" s="113" t="s">
        <v>66</v>
      </c>
      <c r="D33" s="67">
        <v>5078</v>
      </c>
      <c r="E33" s="114" t="s">
        <v>96</v>
      </c>
      <c r="F33" s="79" t="s">
        <v>95</v>
      </c>
      <c r="G33" s="70">
        <v>41640</v>
      </c>
      <c r="H33" s="56" t="str">
        <f t="shared" si="23"/>
        <v>10 AÑOS</v>
      </c>
      <c r="I33" s="57">
        <v>5667.1014626780252</v>
      </c>
      <c r="J33" s="58"/>
      <c r="K33" s="58"/>
      <c r="L33" s="59"/>
      <c r="M33" s="60">
        <v>4.0000000000000002E-4</v>
      </c>
      <c r="N33" s="61">
        <f>I33*0.04</f>
        <v>226.68405850712102</v>
      </c>
      <c r="O33" s="58">
        <f t="shared" si="25"/>
        <v>5893.7855211851465</v>
      </c>
      <c r="P33" s="61">
        <f t="shared" si="26"/>
        <v>11787.571042370293</v>
      </c>
      <c r="Q33" s="61">
        <f t="shared" si="27"/>
        <v>8840.6782817777203</v>
      </c>
      <c r="R33" s="61">
        <f t="shared" si="28"/>
        <v>2946.8927605925733</v>
      </c>
      <c r="S33" s="61">
        <f t="shared" si="29"/>
        <v>392.91903474567641</v>
      </c>
      <c r="T33" s="58">
        <f t="shared" si="30"/>
        <v>451.03175998456192</v>
      </c>
      <c r="U33" s="61">
        <f t="shared" si="31"/>
        <v>4420.3391408888601</v>
      </c>
      <c r="V33" s="58">
        <f t="shared" si="32"/>
        <v>1473.4463802962866</v>
      </c>
      <c r="W33" s="101">
        <v>0.05</v>
      </c>
      <c r="X33" s="63">
        <f t="shared" si="33"/>
        <v>589.37855211851468</v>
      </c>
      <c r="Y33" s="61">
        <v>648.90506105741588</v>
      </c>
      <c r="Z33" s="61">
        <v>0</v>
      </c>
      <c r="AA33" s="61">
        <f t="shared" si="34"/>
        <v>1473.4463802962864</v>
      </c>
      <c r="AB33" s="61">
        <f t="shared" si="35"/>
        <v>294.68927605925734</v>
      </c>
      <c r="AC33" s="61">
        <v>1993.107271192478</v>
      </c>
      <c r="AD33" s="61">
        <v>1182.176794507536</v>
      </c>
      <c r="AE33" s="61">
        <v>699.09922797607101</v>
      </c>
      <c r="AF33" s="61">
        <v>0</v>
      </c>
      <c r="AG33" s="61">
        <f t="shared" si="36"/>
        <v>406.67120096177513</v>
      </c>
      <c r="AH33" s="64"/>
      <c r="AI33" s="64"/>
      <c r="AJ33" s="67">
        <v>27</v>
      </c>
      <c r="AK33" s="113" t="s">
        <v>66</v>
      </c>
      <c r="AL33" s="67">
        <v>5078</v>
      </c>
      <c r="AM33" s="114" t="s">
        <v>96</v>
      </c>
      <c r="AN33" s="79" t="s">
        <v>95</v>
      </c>
      <c r="AO33" s="65">
        <f t="shared" si="42"/>
        <v>106088.13938133264</v>
      </c>
      <c r="AP33" s="65">
        <f t="shared" si="43"/>
        <v>35362.713127110881</v>
      </c>
      <c r="AQ33" s="65">
        <f t="shared" si="44"/>
        <v>7072.5426254221766</v>
      </c>
      <c r="AR33" s="65">
        <f t="shared" si="45"/>
        <v>7786.8607326889905</v>
      </c>
      <c r="AS33" s="65">
        <f t="shared" si="46"/>
        <v>0</v>
      </c>
      <c r="AT33" s="65">
        <f t="shared" si="47"/>
        <v>17681.356563555437</v>
      </c>
      <c r="AU33" s="65">
        <f t="shared" si="48"/>
        <v>3536.2713127110883</v>
      </c>
      <c r="AV33" s="65">
        <f t="shared" si="49"/>
        <v>23917.287254309736</v>
      </c>
      <c r="AW33" s="65">
        <f t="shared" si="50"/>
        <v>14186.121534090431</v>
      </c>
      <c r="AX33" s="65">
        <f t="shared" si="51"/>
        <v>8389.1907357128512</v>
      </c>
      <c r="AY33" s="65">
        <f t="shared" si="52"/>
        <v>0</v>
      </c>
      <c r="AZ33" s="65">
        <f t="shared" si="53"/>
        <v>4880.0544115413013</v>
      </c>
      <c r="BB33" s="64"/>
      <c r="BC33" s="66"/>
      <c r="BD33" s="66"/>
      <c r="BE33" s="66"/>
    </row>
    <row r="34" spans="1:177" ht="21" customHeight="1" x14ac:dyDescent="0.2">
      <c r="B34" s="67">
        <v>28</v>
      </c>
      <c r="C34" s="52" t="s">
        <v>66</v>
      </c>
      <c r="D34" s="51">
        <v>1111</v>
      </c>
      <c r="E34" s="71" t="s">
        <v>97</v>
      </c>
      <c r="F34" s="53" t="s">
        <v>98</v>
      </c>
      <c r="G34" s="105">
        <v>45352</v>
      </c>
      <c r="H34" s="56" t="str">
        <f t="shared" si="23"/>
        <v>0 AÑOS</v>
      </c>
      <c r="I34" s="57">
        <v>3316.4513026389554</v>
      </c>
      <c r="J34" s="58"/>
      <c r="K34" s="58"/>
      <c r="L34" s="59"/>
      <c r="M34" s="60">
        <v>4.0000000000000002E-4</v>
      </c>
      <c r="N34" s="61">
        <f>I34*0.04</f>
        <v>132.65805210555823</v>
      </c>
      <c r="O34" s="58">
        <f t="shared" si="25"/>
        <v>3449.1093547445134</v>
      </c>
      <c r="P34" s="61">
        <f t="shared" si="26"/>
        <v>6898.2187094890269</v>
      </c>
      <c r="Q34" s="61">
        <f t="shared" si="27"/>
        <v>5173.6640321167706</v>
      </c>
      <c r="R34" s="61">
        <f t="shared" si="28"/>
        <v>1724.5546773722567</v>
      </c>
      <c r="S34" s="61">
        <f t="shared" si="29"/>
        <v>229.94062364963423</v>
      </c>
      <c r="T34" s="58">
        <f t="shared" si="30"/>
        <v>263.94884188741514</v>
      </c>
      <c r="U34" s="61">
        <f t="shared" si="31"/>
        <v>2586.8320160583853</v>
      </c>
      <c r="V34" s="58">
        <f t="shared" si="32"/>
        <v>862.27733868612836</v>
      </c>
      <c r="W34" s="101">
        <v>0</v>
      </c>
      <c r="X34" s="63">
        <f t="shared" si="33"/>
        <v>0</v>
      </c>
      <c r="Y34" s="61">
        <v>0</v>
      </c>
      <c r="Z34" s="61">
        <v>22.603581944526638</v>
      </c>
      <c r="AA34" s="61">
        <f t="shared" si="34"/>
        <v>862.27733868612847</v>
      </c>
      <c r="AB34" s="61">
        <f t="shared" si="35"/>
        <v>172.45546773722569</v>
      </c>
      <c r="AC34" s="61">
        <v>1393.8591138668601</v>
      </c>
      <c r="AD34" s="61">
        <v>631.27324770003645</v>
      </c>
      <c r="AE34" s="61">
        <v>409.1207049254935</v>
      </c>
      <c r="AF34" s="61">
        <v>0</v>
      </c>
      <c r="AG34" s="61">
        <f t="shared" si="36"/>
        <v>237.98854547737139</v>
      </c>
      <c r="AH34" s="64"/>
      <c r="AI34" s="64"/>
      <c r="AJ34" s="67">
        <v>28</v>
      </c>
      <c r="AK34" s="52" t="s">
        <v>66</v>
      </c>
      <c r="AL34" s="51">
        <v>1111</v>
      </c>
      <c r="AM34" s="71" t="s">
        <v>97</v>
      </c>
      <c r="AN34" s="53" t="s">
        <v>98</v>
      </c>
      <c r="AO34" s="65">
        <f>Q34*10</f>
        <v>51736.64032116771</v>
      </c>
      <c r="AP34" s="65">
        <f>R34*10</f>
        <v>17245.546773722566</v>
      </c>
      <c r="AQ34" s="65">
        <f t="shared" ref="AQ34:AZ34" si="54">X34*10</f>
        <v>0</v>
      </c>
      <c r="AR34" s="65">
        <f t="shared" si="54"/>
        <v>0</v>
      </c>
      <c r="AS34" s="65">
        <f t="shared" si="54"/>
        <v>226.03581944526638</v>
      </c>
      <c r="AT34" s="65">
        <f t="shared" si="54"/>
        <v>8622.773386861285</v>
      </c>
      <c r="AU34" s="65">
        <f t="shared" si="54"/>
        <v>1724.5546773722569</v>
      </c>
      <c r="AV34" s="65">
        <f t="shared" si="54"/>
        <v>13938.5911386686</v>
      </c>
      <c r="AW34" s="65">
        <f t="shared" si="54"/>
        <v>6312.7324770003643</v>
      </c>
      <c r="AX34" s="65">
        <f t="shared" si="54"/>
        <v>4091.2070492549351</v>
      </c>
      <c r="AY34" s="65">
        <f t="shared" si="54"/>
        <v>0</v>
      </c>
      <c r="AZ34" s="65">
        <f t="shared" si="54"/>
        <v>2379.8854547737137</v>
      </c>
      <c r="BB34" s="64"/>
      <c r="BC34" s="66"/>
      <c r="BD34" s="66"/>
      <c r="BE34" s="66"/>
    </row>
    <row r="35" spans="1:177" s="96" customFormat="1" ht="21" customHeight="1" x14ac:dyDescent="0.2">
      <c r="A35" s="50"/>
      <c r="B35" s="455" t="s">
        <v>99</v>
      </c>
      <c r="C35" s="456"/>
      <c r="D35" s="456"/>
      <c r="E35" s="115">
        <v>28</v>
      </c>
      <c r="F35" s="87" t="s">
        <v>100</v>
      </c>
      <c r="G35" s="117"/>
      <c r="H35" s="118"/>
      <c r="I35" s="119">
        <f t="shared" ref="I35:AG35" si="55">SUM(I18:I34)</f>
        <v>97834.402565203476</v>
      </c>
      <c r="J35" s="119">
        <f t="shared" si="55"/>
        <v>8264.66</v>
      </c>
      <c r="K35" s="119">
        <f t="shared" si="55"/>
        <v>1106.9955619805719</v>
      </c>
      <c r="L35" s="119">
        <f t="shared" si="55"/>
        <v>31.283082363767072</v>
      </c>
      <c r="M35" s="119">
        <f t="shared" si="55"/>
        <v>9.133999999999998E-3</v>
      </c>
      <c r="N35" s="119">
        <f t="shared" si="55"/>
        <v>4736.2339696934441</v>
      </c>
      <c r="O35" s="119">
        <f t="shared" si="55"/>
        <v>102570.63653489694</v>
      </c>
      <c r="P35" s="119">
        <f t="shared" si="55"/>
        <v>205141.27306979388</v>
      </c>
      <c r="Q35" s="119">
        <f t="shared" si="55"/>
        <v>153855.9548023454</v>
      </c>
      <c r="R35" s="119">
        <f t="shared" si="55"/>
        <v>51285.318267448471</v>
      </c>
      <c r="S35" s="119">
        <f t="shared" si="55"/>
        <v>6838.042435659796</v>
      </c>
      <c r="T35" s="119">
        <f t="shared" si="55"/>
        <v>7849.3889118938787</v>
      </c>
      <c r="U35" s="119">
        <f t="shared" si="55"/>
        <v>76927.977401172699</v>
      </c>
      <c r="V35" s="119">
        <f t="shared" si="55"/>
        <v>25642.659133724235</v>
      </c>
      <c r="W35" s="119">
        <f t="shared" si="55"/>
        <v>0.57500000000000007</v>
      </c>
      <c r="X35" s="119">
        <f t="shared" si="55"/>
        <v>7848.7160935819502</v>
      </c>
      <c r="Y35" s="119">
        <f t="shared" si="55"/>
        <v>10541.427212704542</v>
      </c>
      <c r="Z35" s="119">
        <f t="shared" si="55"/>
        <v>26.603581944526638</v>
      </c>
      <c r="AA35" s="119">
        <f t="shared" si="55"/>
        <v>25642.659133724235</v>
      </c>
      <c r="AB35" s="119">
        <f t="shared" si="55"/>
        <v>5128.5318267448465</v>
      </c>
      <c r="AC35" s="119">
        <f t="shared" si="55"/>
        <v>34478.947964051113</v>
      </c>
      <c r="AD35" s="119">
        <f t="shared" si="55"/>
        <v>20275.181142198435</v>
      </c>
      <c r="AE35" s="119">
        <f t="shared" si="55"/>
        <v>12165.080966329278</v>
      </c>
      <c r="AF35" s="119">
        <f t="shared" si="55"/>
        <v>0</v>
      </c>
      <c r="AG35" s="119">
        <f t="shared" si="55"/>
        <v>7077.3739209078876</v>
      </c>
      <c r="AH35" s="64"/>
      <c r="AI35" s="64"/>
      <c r="AJ35" s="455" t="s">
        <v>99</v>
      </c>
      <c r="AK35" s="456"/>
      <c r="AL35" s="456"/>
      <c r="AM35" s="115">
        <v>28</v>
      </c>
      <c r="AN35" s="87" t="s">
        <v>100</v>
      </c>
      <c r="AO35" s="120">
        <f>SUM(AO18:AO34)+65280.63</f>
        <v>1684850.159050988</v>
      </c>
      <c r="AP35" s="120">
        <f>SUM(AP18:AP34)+21760.21</f>
        <v>561616.71968366276</v>
      </c>
      <c r="AQ35" s="120">
        <f>SUM(AQ18:AQ34)+2176.02</f>
        <v>91610.922928765984</v>
      </c>
      <c r="AR35" s="120">
        <f>SUM(AR18:AR34)+2352.69</f>
        <v>116707.61265842829</v>
      </c>
      <c r="AS35" s="120">
        <f>SUM(AS18:AS34)</f>
        <v>238.03581944526638</v>
      </c>
      <c r="AT35" s="120">
        <f>SUM(AT18:AT34)+10880.1</f>
        <v>280808.35484183137</v>
      </c>
      <c r="AU35" s="120">
        <f>SUM(AU18:AU34)+2176.02</f>
        <v>56161.670968366285</v>
      </c>
      <c r="AV35" s="120">
        <f>SUM(AV18:AV34)+15603.49</f>
        <v>376388.86303150724</v>
      </c>
      <c r="AW35" s="120">
        <f>SUM(AW18:AW34)+8264.73</f>
        <v>221911.74878539209</v>
      </c>
      <c r="AX35" s="120">
        <f>SUM(AX18:AX34)+5162.23</f>
        <v>133229.41386829579</v>
      </c>
      <c r="AY35" s="120">
        <f>SUM(AY18:AY34)</f>
        <v>0</v>
      </c>
      <c r="AZ35" s="120">
        <f>SUM(AZ18:AZ34)+3002.91</f>
        <v>77503.108336345482</v>
      </c>
      <c r="BA35" s="50"/>
      <c r="BB35" s="64"/>
      <c r="BC35" s="66"/>
      <c r="BD35" s="66"/>
      <c r="BE35" s="66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</row>
    <row r="36" spans="1:177" ht="21" customHeight="1" x14ac:dyDescent="0.2">
      <c r="B36" s="457" t="s">
        <v>101</v>
      </c>
      <c r="C36" s="458"/>
      <c r="D36" s="458"/>
      <c r="E36" s="76">
        <v>26</v>
      </c>
      <c r="F36" s="122" t="s">
        <v>102</v>
      </c>
      <c r="G36" s="123"/>
      <c r="H36" s="55"/>
      <c r="I36" s="57">
        <f t="shared" ref="I36:AG36" si="56">I17+I35</f>
        <v>265282.17006386694</v>
      </c>
      <c r="J36" s="57">
        <f t="shared" si="56"/>
        <v>8264.66</v>
      </c>
      <c r="K36" s="57">
        <f t="shared" si="56"/>
        <v>1106.9955619805719</v>
      </c>
      <c r="L36" s="74">
        <f t="shared" si="56"/>
        <v>31.283082363767072</v>
      </c>
      <c r="M36" s="57">
        <f t="shared" si="56"/>
        <v>1.3533999999999999E-2</v>
      </c>
      <c r="N36" s="57">
        <f t="shared" si="56"/>
        <v>11434.144669639983</v>
      </c>
      <c r="O36" s="57">
        <f t="shared" si="56"/>
        <v>276716.31473350694</v>
      </c>
      <c r="P36" s="57">
        <f t="shared" si="56"/>
        <v>553432.62946701387</v>
      </c>
      <c r="Q36" s="57">
        <f t="shared" si="56"/>
        <v>415074.47210026043</v>
      </c>
      <c r="R36" s="57">
        <f t="shared" si="56"/>
        <v>138358.15736675347</v>
      </c>
      <c r="S36" s="57">
        <f t="shared" si="56"/>
        <v>18447.75431556713</v>
      </c>
      <c r="T36" s="57">
        <f t="shared" si="56"/>
        <v>21176.177178839505</v>
      </c>
      <c r="U36" s="81">
        <f t="shared" si="56"/>
        <v>207537.23605013022</v>
      </c>
      <c r="V36" s="57">
        <f t="shared" si="56"/>
        <v>69179.078683376734</v>
      </c>
      <c r="W36" s="57">
        <f t="shared" si="56"/>
        <v>0.57500000000000007</v>
      </c>
      <c r="X36" s="57">
        <f t="shared" si="56"/>
        <v>7848.7160935819502</v>
      </c>
      <c r="Y36" s="57">
        <f t="shared" si="56"/>
        <v>50541.639876208501</v>
      </c>
      <c r="Z36" s="57">
        <f t="shared" si="56"/>
        <v>26.603581944526638</v>
      </c>
      <c r="AA36" s="57">
        <f t="shared" si="56"/>
        <v>69179.078683376734</v>
      </c>
      <c r="AB36" s="57">
        <f t="shared" si="56"/>
        <v>13835.815736675348</v>
      </c>
      <c r="AC36" s="57">
        <f t="shared" si="56"/>
        <v>71066.171371112316</v>
      </c>
      <c r="AD36" s="57">
        <f t="shared" si="56"/>
        <v>45726.36910205982</v>
      </c>
      <c r="AE36" s="57">
        <f t="shared" si="56"/>
        <v>27216.049600191716</v>
      </c>
      <c r="AF36" s="57">
        <f t="shared" si="56"/>
        <v>7873.1582196821191</v>
      </c>
      <c r="AG36" s="57">
        <f t="shared" si="56"/>
        <v>19093.425716611979</v>
      </c>
      <c r="AH36" s="92">
        <f>Q36+R36-Y36+Z36+X36+AA36+AB36+AC36+AD36+AE36+AF36+AG36</f>
        <v>764756.37769604218</v>
      </c>
      <c r="AI36" s="92">
        <f>AH36*12</f>
        <v>9177076.5323525071</v>
      </c>
      <c r="AJ36" s="457" t="s">
        <v>101</v>
      </c>
      <c r="AK36" s="458"/>
      <c r="AL36" s="458"/>
      <c r="AM36" s="76">
        <v>26</v>
      </c>
      <c r="AN36" s="122" t="s">
        <v>102</v>
      </c>
      <c r="AO36" s="124">
        <f t="shared" ref="AO36:AZ36" si="57">AO17+AO35</f>
        <v>4978516.0563786402</v>
      </c>
      <c r="AP36" s="124">
        <f t="shared" si="57"/>
        <v>1659505.3521262133</v>
      </c>
      <c r="AQ36" s="124">
        <f t="shared" si="57"/>
        <v>91610.922928765984</v>
      </c>
      <c r="AR36" s="124">
        <f t="shared" si="57"/>
        <v>618334.65301170025</v>
      </c>
      <c r="AS36" s="124">
        <f t="shared" si="57"/>
        <v>238.03581944526638</v>
      </c>
      <c r="AT36" s="124">
        <f t="shared" si="57"/>
        <v>829752.67606310663</v>
      </c>
      <c r="AU36" s="124">
        <f t="shared" si="57"/>
        <v>165950.53321262135</v>
      </c>
      <c r="AV36" s="124">
        <f t="shared" si="57"/>
        <v>845538.80083304131</v>
      </c>
      <c r="AW36" s="124">
        <f t="shared" si="57"/>
        <v>548593.34692571755</v>
      </c>
      <c r="AX36" s="124">
        <f t="shared" si="57"/>
        <v>326417.82496842911</v>
      </c>
      <c r="AY36" s="124">
        <f t="shared" si="57"/>
        <v>94477.898636185433</v>
      </c>
      <c r="AZ36" s="124">
        <f t="shared" si="57"/>
        <v>229011.74403341743</v>
      </c>
      <c r="BB36" s="92">
        <f>AO36+AP36+AQ36-AR36+AS36+AT36+AU36+AV36+AW36+AX36+AY36+AZ36</f>
        <v>9151278.5389138814</v>
      </c>
      <c r="BC36" s="95"/>
      <c r="BD36" s="66"/>
      <c r="BE36" s="66"/>
    </row>
    <row r="37" spans="1:177" ht="21" customHeight="1" x14ac:dyDescent="0.2">
      <c r="B37" s="457" t="s">
        <v>103</v>
      </c>
      <c r="C37" s="458"/>
      <c r="D37" s="458"/>
      <c r="E37" s="76">
        <f>E35-E36</f>
        <v>2</v>
      </c>
      <c r="F37" s="79"/>
      <c r="G37" s="459"/>
      <c r="H37" s="460"/>
      <c r="I37" s="460"/>
      <c r="J37" s="460"/>
      <c r="K37" s="460"/>
      <c r="L37" s="460"/>
      <c r="M37" s="460"/>
      <c r="N37" s="460"/>
      <c r="O37" s="460"/>
      <c r="P37" s="460"/>
      <c r="Q37" s="460"/>
      <c r="R37" s="460"/>
      <c r="S37" s="460"/>
      <c r="T37" s="460"/>
      <c r="U37" s="460"/>
      <c r="V37" s="460"/>
      <c r="W37" s="460"/>
      <c r="X37" s="460"/>
      <c r="Y37" s="460"/>
      <c r="Z37" s="460"/>
      <c r="AA37" s="460"/>
      <c r="AB37" s="460"/>
      <c r="AC37" s="460"/>
      <c r="AD37" s="460"/>
      <c r="AE37" s="460"/>
      <c r="AF37" s="460"/>
      <c r="AG37" s="461"/>
      <c r="AH37" s="64"/>
      <c r="AI37" s="64"/>
      <c r="AJ37" s="457" t="s">
        <v>103</v>
      </c>
      <c r="AK37" s="458"/>
      <c r="AL37" s="458"/>
      <c r="AM37" s="76">
        <f>AM35-AM36</f>
        <v>2</v>
      </c>
      <c r="AN37" s="79"/>
      <c r="AO37" s="473"/>
      <c r="AP37" s="474"/>
      <c r="AQ37" s="474"/>
      <c r="AR37" s="474"/>
      <c r="AS37" s="474"/>
      <c r="AT37" s="474"/>
      <c r="AU37" s="474"/>
      <c r="AV37" s="474"/>
      <c r="AW37" s="474"/>
      <c r="AX37" s="474"/>
      <c r="AY37" s="474"/>
      <c r="AZ37" s="475"/>
      <c r="BB37" s="64"/>
      <c r="BC37" s="66"/>
      <c r="BD37" s="66"/>
      <c r="BE37" s="66"/>
    </row>
    <row r="38" spans="1:177" ht="21" customHeight="1" x14ac:dyDescent="0.2">
      <c r="I38" s="95"/>
      <c r="J38" s="95"/>
      <c r="K38" s="95"/>
      <c r="L38" s="27"/>
      <c r="M38" s="128"/>
      <c r="N38" s="66"/>
      <c r="O38" s="95"/>
      <c r="P38" s="66"/>
      <c r="Q38" s="66"/>
      <c r="R38" s="66"/>
      <c r="S38" s="66"/>
      <c r="T38" s="95"/>
      <c r="U38" s="66"/>
      <c r="V38" s="95"/>
      <c r="W38" s="129"/>
      <c r="X38" s="130"/>
      <c r="Y38" s="66"/>
      <c r="Z38" s="66"/>
      <c r="AA38" s="66"/>
      <c r="AB38" s="66"/>
      <c r="AC38" s="66"/>
      <c r="AD38" s="66"/>
      <c r="AE38" s="66"/>
      <c r="AF38" s="66"/>
      <c r="AG38" s="66"/>
      <c r="AH38" s="64"/>
      <c r="AI38" s="64"/>
      <c r="AL38" s="127"/>
      <c r="AO38" s="131"/>
      <c r="AP38" s="131"/>
      <c r="AQ38" s="131"/>
      <c r="AR38" s="131"/>
      <c r="AS38" s="131"/>
      <c r="AT38" s="131"/>
      <c r="AU38" s="131"/>
      <c r="AV38" s="131"/>
      <c r="AW38" s="131"/>
      <c r="AX38" s="131"/>
      <c r="AY38" s="131"/>
      <c r="AZ38" s="131"/>
      <c r="BB38" s="64"/>
      <c r="BC38" s="66"/>
      <c r="BD38" s="66"/>
      <c r="BE38" s="66"/>
    </row>
    <row r="39" spans="1:177" ht="21" customHeight="1" thickBot="1" x14ac:dyDescent="0.25">
      <c r="I39" s="95"/>
      <c r="J39" s="95"/>
      <c r="K39" s="95"/>
      <c r="L39" s="27"/>
      <c r="M39" s="128"/>
      <c r="N39" s="66"/>
      <c r="O39" s="95"/>
      <c r="P39" s="66"/>
      <c r="Q39" s="66"/>
      <c r="R39" s="66"/>
      <c r="S39" s="66"/>
      <c r="T39" s="95"/>
      <c r="U39" s="66"/>
      <c r="V39" s="95"/>
      <c r="W39" s="129"/>
      <c r="X39" s="130"/>
      <c r="Y39" s="66"/>
      <c r="Z39" s="66"/>
      <c r="AA39" s="66"/>
      <c r="AB39" s="66"/>
      <c r="AC39" s="66"/>
      <c r="AD39" s="66"/>
      <c r="AE39" s="66"/>
      <c r="AF39" s="66"/>
      <c r="AG39" s="66"/>
      <c r="AH39" s="64"/>
      <c r="AI39" s="64"/>
      <c r="AL39" s="127"/>
      <c r="AO39" s="131"/>
      <c r="AP39" s="131"/>
      <c r="AQ39" s="131"/>
      <c r="AR39" s="131"/>
      <c r="AS39" s="131"/>
      <c r="AT39" s="131"/>
      <c r="AU39" s="131"/>
      <c r="AV39" s="131"/>
      <c r="AW39" s="131"/>
      <c r="AX39" s="131"/>
      <c r="AY39" s="131"/>
      <c r="AZ39" s="131"/>
      <c r="BB39" s="64"/>
      <c r="BC39" s="66"/>
      <c r="BD39" s="66"/>
      <c r="BE39" s="66"/>
    </row>
    <row r="40" spans="1:177" s="134" customFormat="1" ht="21" customHeight="1" thickBot="1" x14ac:dyDescent="0.25">
      <c r="A40" s="94"/>
      <c r="B40" s="476" t="s">
        <v>104</v>
      </c>
      <c r="C40" s="477"/>
      <c r="D40" s="477"/>
      <c r="E40" s="478"/>
      <c r="F40" s="466" t="s">
        <v>4</v>
      </c>
      <c r="G40" s="7" t="s">
        <v>5</v>
      </c>
      <c r="H40" s="8" t="s">
        <v>6</v>
      </c>
      <c r="I40" s="9" t="s">
        <v>7</v>
      </c>
      <c r="J40" s="9"/>
      <c r="K40" s="9"/>
      <c r="L40" s="9"/>
      <c r="M40" s="10">
        <v>4.0000000000000002E-4</v>
      </c>
      <c r="N40" s="11" t="s">
        <v>8</v>
      </c>
      <c r="O40" s="12" t="s">
        <v>9</v>
      </c>
      <c r="P40" s="12" t="s">
        <v>10</v>
      </c>
      <c r="Q40" s="13" t="s">
        <v>11</v>
      </c>
      <c r="R40" s="12" t="s">
        <v>12</v>
      </c>
      <c r="S40" s="14" t="s">
        <v>11</v>
      </c>
      <c r="T40" s="15" t="s">
        <v>13</v>
      </c>
      <c r="U40" s="16" t="s">
        <v>11</v>
      </c>
      <c r="V40" s="17" t="s">
        <v>12</v>
      </c>
      <c r="W40" s="18" t="s">
        <v>14</v>
      </c>
      <c r="X40" s="19" t="s">
        <v>15</v>
      </c>
      <c r="Y40" s="15" t="s">
        <v>16</v>
      </c>
      <c r="Z40" s="13" t="s">
        <v>17</v>
      </c>
      <c r="AA40" s="20" t="s">
        <v>18</v>
      </c>
      <c r="AB40" s="17" t="s">
        <v>19</v>
      </c>
      <c r="AC40" s="13" t="s">
        <v>20</v>
      </c>
      <c r="AD40" s="13" t="s">
        <v>21</v>
      </c>
      <c r="AE40" s="13" t="s">
        <v>22</v>
      </c>
      <c r="AF40" s="17" t="s">
        <v>23</v>
      </c>
      <c r="AG40" s="12" t="s">
        <v>24</v>
      </c>
      <c r="AH40" s="132"/>
      <c r="AI40" s="132"/>
      <c r="AJ40" s="476" t="s">
        <v>104</v>
      </c>
      <c r="AK40" s="477"/>
      <c r="AL40" s="477"/>
      <c r="AM40" s="478"/>
      <c r="AN40" s="466" t="s">
        <v>4</v>
      </c>
      <c r="AO40" s="133" t="s">
        <v>11</v>
      </c>
      <c r="AP40" s="12" t="s">
        <v>12</v>
      </c>
      <c r="AQ40" s="23" t="s">
        <v>15</v>
      </c>
      <c r="AR40" s="22" t="s">
        <v>16</v>
      </c>
      <c r="AS40" s="22" t="s">
        <v>25</v>
      </c>
      <c r="AT40" s="20" t="s">
        <v>26</v>
      </c>
      <c r="AU40" s="24" t="s">
        <v>27</v>
      </c>
      <c r="AV40" s="23" t="s">
        <v>20</v>
      </c>
      <c r="AW40" s="22" t="s">
        <v>28</v>
      </c>
      <c r="AX40" s="22" t="s">
        <v>29</v>
      </c>
      <c r="AY40" s="25" t="s">
        <v>23</v>
      </c>
      <c r="AZ40" s="24" t="s">
        <v>24</v>
      </c>
      <c r="BA40" s="94"/>
      <c r="BB40" s="92"/>
      <c r="BC40" s="95"/>
      <c r="BD40" s="95"/>
      <c r="BE40" s="95"/>
      <c r="BF40" s="94"/>
      <c r="BG40" s="94"/>
      <c r="BH40" s="94"/>
      <c r="BI40" s="94"/>
      <c r="BJ40" s="94"/>
      <c r="BK40" s="94"/>
      <c r="BL40" s="94"/>
      <c r="BM40" s="94"/>
      <c r="BN40" s="94"/>
      <c r="BO40" s="94"/>
      <c r="BP40" s="94"/>
      <c r="BQ40" s="94"/>
      <c r="BR40" s="94"/>
      <c r="BS40" s="94"/>
      <c r="BT40" s="94"/>
      <c r="BU40" s="94"/>
      <c r="BV40" s="94"/>
      <c r="BW40" s="94"/>
      <c r="BX40" s="94"/>
      <c r="BY40" s="94"/>
      <c r="BZ40" s="94"/>
      <c r="CA40" s="94"/>
      <c r="CB40" s="94"/>
      <c r="CC40" s="94"/>
      <c r="CD40" s="94"/>
      <c r="CE40" s="94"/>
      <c r="CF40" s="94"/>
      <c r="CG40" s="94"/>
      <c r="CH40" s="94"/>
      <c r="CI40" s="94"/>
      <c r="CJ40" s="94"/>
      <c r="CK40" s="94"/>
      <c r="CL40" s="94"/>
      <c r="CM40" s="94"/>
      <c r="CN40" s="94"/>
      <c r="CO40" s="94"/>
      <c r="CP40" s="94"/>
      <c r="CQ40" s="94"/>
      <c r="CR40" s="94"/>
      <c r="CS40" s="94"/>
      <c r="CT40" s="94"/>
      <c r="CU40" s="94"/>
      <c r="CV40" s="94"/>
      <c r="CW40" s="94"/>
      <c r="CX40" s="94"/>
      <c r="CY40" s="94"/>
      <c r="CZ40" s="94"/>
      <c r="DA40" s="94"/>
      <c r="DB40" s="94"/>
      <c r="DC40" s="94"/>
      <c r="DD40" s="94"/>
      <c r="DE40" s="94"/>
      <c r="DF40" s="94"/>
      <c r="DG40" s="94"/>
      <c r="DH40" s="94"/>
      <c r="DI40" s="94"/>
      <c r="DJ40" s="94"/>
      <c r="DK40" s="94"/>
      <c r="DL40" s="94"/>
      <c r="DM40" s="94"/>
      <c r="DN40" s="94"/>
      <c r="DO40" s="94"/>
      <c r="DP40" s="94"/>
      <c r="DQ40" s="94"/>
      <c r="DR40" s="94"/>
      <c r="DS40" s="94"/>
      <c r="DT40" s="94"/>
      <c r="DU40" s="94"/>
      <c r="DV40" s="94"/>
      <c r="DW40" s="94"/>
      <c r="DX40" s="94"/>
      <c r="DY40" s="94"/>
      <c r="DZ40" s="94"/>
      <c r="EA40" s="94"/>
      <c r="EB40" s="94"/>
      <c r="EC40" s="94"/>
      <c r="ED40" s="94"/>
      <c r="EE40" s="94"/>
      <c r="EF40" s="94"/>
      <c r="EG40" s="94"/>
      <c r="EH40" s="94"/>
      <c r="EI40" s="94"/>
      <c r="EJ40" s="94"/>
      <c r="EK40" s="94"/>
      <c r="EL40" s="94"/>
      <c r="EM40" s="94"/>
      <c r="EN40" s="94"/>
      <c r="EO40" s="94"/>
      <c r="EP40" s="94"/>
      <c r="EQ40" s="94"/>
      <c r="ER40" s="94"/>
      <c r="ES40" s="94"/>
      <c r="ET40" s="94"/>
      <c r="EU40" s="94"/>
      <c r="EV40" s="94"/>
      <c r="EW40" s="94"/>
      <c r="EX40" s="94"/>
      <c r="EY40" s="94"/>
      <c r="EZ40" s="94"/>
      <c r="FA40" s="94"/>
      <c r="FB40" s="94"/>
      <c r="FC40" s="94"/>
      <c r="FD40" s="94"/>
      <c r="FE40" s="94"/>
      <c r="FF40" s="94"/>
      <c r="FG40" s="94"/>
      <c r="FH40" s="94"/>
      <c r="FI40" s="94"/>
      <c r="FJ40" s="94"/>
      <c r="FK40" s="94"/>
      <c r="FL40" s="94"/>
      <c r="FM40" s="94"/>
      <c r="FN40" s="94"/>
      <c r="FO40" s="94"/>
      <c r="FP40" s="94"/>
      <c r="FQ40" s="94"/>
      <c r="FR40" s="94"/>
      <c r="FS40" s="94"/>
      <c r="FT40" s="94"/>
      <c r="FU40" s="94"/>
    </row>
    <row r="41" spans="1:177" s="134" customFormat="1" ht="21" customHeight="1" thickBot="1" x14ac:dyDescent="0.25">
      <c r="A41" s="94"/>
      <c r="B41" s="30" t="s">
        <v>30</v>
      </c>
      <c r="C41" s="6" t="s">
        <v>31</v>
      </c>
      <c r="D41" s="30" t="s">
        <v>105</v>
      </c>
      <c r="E41" s="32" t="s">
        <v>32</v>
      </c>
      <c r="F41" s="467"/>
      <c r="G41" s="33" t="s">
        <v>33</v>
      </c>
      <c r="H41" s="34">
        <v>45657</v>
      </c>
      <c r="I41" s="35">
        <v>2023</v>
      </c>
      <c r="J41" s="35"/>
      <c r="K41" s="35"/>
      <c r="L41" s="35"/>
      <c r="M41" s="36"/>
      <c r="N41" s="37"/>
      <c r="O41" s="38">
        <v>2024</v>
      </c>
      <c r="P41" s="39" t="s">
        <v>34</v>
      </c>
      <c r="Q41" s="40" t="s">
        <v>35</v>
      </c>
      <c r="R41" s="39" t="s">
        <v>36</v>
      </c>
      <c r="S41" s="41" t="s">
        <v>37</v>
      </c>
      <c r="T41" s="42" t="s">
        <v>38</v>
      </c>
      <c r="U41" s="43" t="s">
        <v>39</v>
      </c>
      <c r="V41" s="41" t="s">
        <v>39</v>
      </c>
      <c r="W41" s="44" t="s">
        <v>15</v>
      </c>
      <c r="X41" s="45" t="s">
        <v>35</v>
      </c>
      <c r="Y41" s="42" t="s">
        <v>35</v>
      </c>
      <c r="Z41" s="40" t="s">
        <v>35</v>
      </c>
      <c r="AA41" s="46" t="s">
        <v>35</v>
      </c>
      <c r="AB41" s="41" t="s">
        <v>35</v>
      </c>
      <c r="AC41" s="40" t="s">
        <v>35</v>
      </c>
      <c r="AD41" s="40" t="s">
        <v>35</v>
      </c>
      <c r="AE41" s="40" t="s">
        <v>35</v>
      </c>
      <c r="AF41" s="41" t="s">
        <v>35</v>
      </c>
      <c r="AG41" s="40" t="s">
        <v>35</v>
      </c>
      <c r="AH41" s="135"/>
      <c r="AI41" s="135"/>
      <c r="AJ41" s="30" t="s">
        <v>30</v>
      </c>
      <c r="AK41" s="6" t="s">
        <v>31</v>
      </c>
      <c r="AL41" s="30" t="s">
        <v>105</v>
      </c>
      <c r="AM41" s="32" t="s">
        <v>32</v>
      </c>
      <c r="AN41" s="467"/>
      <c r="AO41" s="46" t="s">
        <v>40</v>
      </c>
      <c r="AP41" s="39" t="s">
        <v>41</v>
      </c>
      <c r="AQ41" s="48" t="s">
        <v>40</v>
      </c>
      <c r="AR41" s="49" t="s">
        <v>40</v>
      </c>
      <c r="AS41" s="49" t="s">
        <v>40</v>
      </c>
      <c r="AT41" s="46" t="s">
        <v>40</v>
      </c>
      <c r="AU41" s="49" t="s">
        <v>40</v>
      </c>
      <c r="AV41" s="48" t="s">
        <v>40</v>
      </c>
      <c r="AW41" s="49" t="s">
        <v>40</v>
      </c>
      <c r="AX41" s="49" t="s">
        <v>40</v>
      </c>
      <c r="AY41" s="48" t="s">
        <v>40</v>
      </c>
      <c r="AZ41" s="49" t="s">
        <v>40</v>
      </c>
      <c r="BA41" s="94"/>
      <c r="BB41" s="92"/>
      <c r="BC41" s="95"/>
      <c r="BD41" s="95"/>
      <c r="BE41" s="95"/>
      <c r="BF41" s="94"/>
      <c r="BG41" s="94"/>
      <c r="BH41" s="94"/>
      <c r="BI41" s="94"/>
      <c r="BJ41" s="94"/>
      <c r="BK41" s="94"/>
      <c r="BL41" s="94"/>
      <c r="BM41" s="94"/>
      <c r="BN41" s="94"/>
      <c r="BO41" s="94"/>
      <c r="BP41" s="94"/>
      <c r="BQ41" s="94"/>
      <c r="BR41" s="94"/>
      <c r="BS41" s="94"/>
      <c r="BT41" s="94"/>
      <c r="BU41" s="94"/>
      <c r="BV41" s="94"/>
      <c r="BW41" s="94"/>
      <c r="BX41" s="94"/>
      <c r="BY41" s="94"/>
      <c r="BZ41" s="94"/>
      <c r="CA41" s="94"/>
      <c r="CB41" s="94"/>
      <c r="CC41" s="94"/>
      <c r="CD41" s="94"/>
      <c r="CE41" s="94"/>
      <c r="CF41" s="94"/>
      <c r="CG41" s="94"/>
      <c r="CH41" s="94"/>
      <c r="CI41" s="94"/>
      <c r="CJ41" s="94"/>
      <c r="CK41" s="94"/>
      <c r="CL41" s="94"/>
      <c r="CM41" s="94"/>
      <c r="CN41" s="94"/>
      <c r="CO41" s="94"/>
      <c r="CP41" s="94"/>
      <c r="CQ41" s="94"/>
      <c r="CR41" s="94"/>
      <c r="CS41" s="94"/>
      <c r="CT41" s="94"/>
      <c r="CU41" s="94"/>
      <c r="CV41" s="94"/>
      <c r="CW41" s="94"/>
      <c r="CX41" s="94"/>
      <c r="CY41" s="94"/>
      <c r="CZ41" s="94"/>
      <c r="DA41" s="94"/>
      <c r="DB41" s="94"/>
      <c r="DC41" s="94"/>
      <c r="DD41" s="94"/>
      <c r="DE41" s="94"/>
      <c r="DF41" s="94"/>
      <c r="DG41" s="94"/>
      <c r="DH41" s="94"/>
      <c r="DI41" s="94"/>
      <c r="DJ41" s="94"/>
      <c r="DK41" s="94"/>
      <c r="DL41" s="94"/>
      <c r="DM41" s="94"/>
      <c r="DN41" s="94"/>
      <c r="DO41" s="94"/>
      <c r="DP41" s="94"/>
      <c r="DQ41" s="94"/>
      <c r="DR41" s="94"/>
      <c r="DS41" s="94"/>
      <c r="DT41" s="94"/>
      <c r="DU41" s="94"/>
      <c r="DV41" s="94"/>
      <c r="DW41" s="94"/>
      <c r="DX41" s="94"/>
      <c r="DY41" s="94"/>
      <c r="DZ41" s="94"/>
      <c r="EA41" s="94"/>
      <c r="EB41" s="94"/>
      <c r="EC41" s="94"/>
      <c r="ED41" s="94"/>
      <c r="EE41" s="94"/>
      <c r="EF41" s="94"/>
      <c r="EG41" s="94"/>
      <c r="EH41" s="94"/>
      <c r="EI41" s="94"/>
      <c r="EJ41" s="94"/>
      <c r="EK41" s="94"/>
      <c r="EL41" s="94"/>
      <c r="EM41" s="94"/>
      <c r="EN41" s="94"/>
      <c r="EO41" s="94"/>
      <c r="EP41" s="94"/>
      <c r="EQ41" s="94"/>
      <c r="ER41" s="94"/>
      <c r="ES41" s="94"/>
      <c r="ET41" s="94"/>
      <c r="EU41" s="94"/>
      <c r="EV41" s="94"/>
      <c r="EW41" s="94"/>
      <c r="EX41" s="94"/>
      <c r="EY41" s="94"/>
      <c r="EZ41" s="94"/>
      <c r="FA41" s="94"/>
      <c r="FB41" s="94"/>
      <c r="FC41" s="94"/>
      <c r="FD41" s="94"/>
      <c r="FE41" s="94"/>
      <c r="FF41" s="94"/>
      <c r="FG41" s="94"/>
      <c r="FH41" s="94"/>
      <c r="FI41" s="94"/>
      <c r="FJ41" s="94"/>
      <c r="FK41" s="94"/>
      <c r="FL41" s="94"/>
      <c r="FM41" s="94"/>
      <c r="FN41" s="94"/>
      <c r="FO41" s="94"/>
      <c r="FP41" s="94"/>
      <c r="FQ41" s="94"/>
      <c r="FR41" s="94"/>
      <c r="FS41" s="94"/>
      <c r="FT41" s="94"/>
      <c r="FU41" s="94"/>
    </row>
    <row r="42" spans="1:177" ht="21" customHeight="1" x14ac:dyDescent="0.2">
      <c r="B42" s="83">
        <v>1</v>
      </c>
      <c r="C42" s="104" t="s">
        <v>42</v>
      </c>
      <c r="D42" s="83">
        <v>26001</v>
      </c>
      <c r="E42" s="104" t="s">
        <v>106</v>
      </c>
      <c r="F42" s="106" t="s">
        <v>107</v>
      </c>
      <c r="G42" s="136">
        <v>43831</v>
      </c>
      <c r="H42" s="56" t="str">
        <f xml:space="preserve"> CONCATENATE(DATEDIF(G42,H$5,"Y")," AÑOS")</f>
        <v>4 AÑOS</v>
      </c>
      <c r="I42" s="75">
        <v>10702.648319999998</v>
      </c>
      <c r="J42" s="75"/>
      <c r="K42" s="75"/>
      <c r="L42" s="137"/>
      <c r="M42" s="60">
        <v>4.0000000000000002E-4</v>
      </c>
      <c r="N42" s="61">
        <f>I42*0.04</f>
        <v>428.10593279999995</v>
      </c>
      <c r="O42" s="58">
        <f>I42+N42</f>
        <v>11130.754252799998</v>
      </c>
      <c r="P42" s="61">
        <f>O42*2</f>
        <v>22261.508505599995</v>
      </c>
      <c r="Q42" s="61">
        <f>P42*0.75</f>
        <v>16696.131379199996</v>
      </c>
      <c r="R42" s="61">
        <f>P42*0.25</f>
        <v>5565.3771263999988</v>
      </c>
      <c r="S42" s="61">
        <f>(P42/30)</f>
        <v>742.05028351999988</v>
      </c>
      <c r="T42" s="58">
        <f t="shared" ref="T42:T81" si="58">S42*1.1479</f>
        <v>851.79952045260779</v>
      </c>
      <c r="U42" s="61">
        <f>O42*0.75</f>
        <v>8348.0656895999982</v>
      </c>
      <c r="V42" s="58">
        <f>O42*0.25</f>
        <v>2782.6885631999994</v>
      </c>
      <c r="W42" s="62">
        <v>0</v>
      </c>
      <c r="X42" s="63">
        <f>P42*W42</f>
        <v>0</v>
      </c>
      <c r="Y42" s="61">
        <v>1920.1697105971193</v>
      </c>
      <c r="Z42" s="61">
        <v>0</v>
      </c>
      <c r="AA42" s="61">
        <f>(S42*45)/12</f>
        <v>2782.6885631999994</v>
      </c>
      <c r="AB42" s="61">
        <f>(S42*10)*(0.45*2)/12</f>
        <v>556.53771264</v>
      </c>
      <c r="AC42" s="61">
        <v>3276.8126164944106</v>
      </c>
      <c r="AD42" s="61">
        <v>2232.6091330823074</v>
      </c>
      <c r="AE42" s="61">
        <v>1320.2892567015422</v>
      </c>
      <c r="AF42" s="61">
        <v>0</v>
      </c>
      <c r="AG42" s="61">
        <f>(P42+AA42+AB42)*0.03</f>
        <v>768.02204344319978</v>
      </c>
      <c r="AH42" s="64"/>
      <c r="AI42" s="64"/>
      <c r="AJ42" s="83">
        <v>1</v>
      </c>
      <c r="AK42" s="104" t="s">
        <v>42</v>
      </c>
      <c r="AL42" s="83">
        <v>26001</v>
      </c>
      <c r="AM42" s="104" t="s">
        <v>106</v>
      </c>
      <c r="AN42" s="106" t="s">
        <v>107</v>
      </c>
      <c r="AO42" s="138">
        <f>Q42*12</f>
        <v>200353.57655039994</v>
      </c>
      <c r="AP42" s="65">
        <f>R42*12</f>
        <v>66784.525516799986</v>
      </c>
      <c r="AQ42" s="65">
        <f t="shared" ref="AQ42:AZ42" si="59">X42*12</f>
        <v>0</v>
      </c>
      <c r="AR42" s="65">
        <f t="shared" si="59"/>
        <v>23042.03652716543</v>
      </c>
      <c r="AS42" s="65">
        <f t="shared" si="59"/>
        <v>0</v>
      </c>
      <c r="AT42" s="65">
        <f t="shared" si="59"/>
        <v>33392.262758399993</v>
      </c>
      <c r="AU42" s="65">
        <f t="shared" si="59"/>
        <v>6678.4525516800004</v>
      </c>
      <c r="AV42" s="65">
        <f t="shared" si="59"/>
        <v>39321.751397932923</v>
      </c>
      <c r="AW42" s="65">
        <f t="shared" si="59"/>
        <v>26791.309596987689</v>
      </c>
      <c r="AX42" s="65">
        <f t="shared" si="59"/>
        <v>15843.471080418505</v>
      </c>
      <c r="AY42" s="65">
        <f t="shared" si="59"/>
        <v>0</v>
      </c>
      <c r="AZ42" s="65">
        <f t="shared" si="59"/>
        <v>9216.2645213183969</v>
      </c>
      <c r="BB42" s="64"/>
      <c r="BC42" s="66"/>
      <c r="BD42" s="66"/>
      <c r="BE42" s="66"/>
    </row>
    <row r="43" spans="1:177" s="364" customFormat="1" ht="21" customHeight="1" x14ac:dyDescent="0.2">
      <c r="B43" s="365">
        <v>2</v>
      </c>
      <c r="C43" s="372" t="s">
        <v>42</v>
      </c>
      <c r="D43" s="365">
        <v>16545</v>
      </c>
      <c r="E43" s="372" t="s">
        <v>108</v>
      </c>
      <c r="F43" s="383" t="s">
        <v>109</v>
      </c>
      <c r="G43" s="384">
        <v>43862</v>
      </c>
      <c r="H43" s="56" t="str">
        <f xml:space="preserve"> CONCATENATE(DATEDIF(G43,H$5,"Y")," AÑOS")</f>
        <v>4 AÑOS</v>
      </c>
      <c r="I43" s="57">
        <v>4913.376968141848</v>
      </c>
      <c r="J43" s="58">
        <v>5984.31</v>
      </c>
      <c r="K43" s="108">
        <f>J43-I43</f>
        <v>1070.9330318581524</v>
      </c>
      <c r="L43" s="173">
        <f>K43*100/I43</f>
        <v>21.796272478216956</v>
      </c>
      <c r="M43" s="60">
        <v>2.1800000000000001E-3</v>
      </c>
      <c r="N43" s="61">
        <f>I43*0.2179</f>
        <v>1070.6248413581088</v>
      </c>
      <c r="O43" s="58">
        <f>I43+N43</f>
        <v>5984.0018094999568</v>
      </c>
      <c r="P43" s="61">
        <f>O43*2</f>
        <v>11968.003618999914</v>
      </c>
      <c r="Q43" s="61">
        <f>P43*0.75</f>
        <v>8976.0027142499348</v>
      </c>
      <c r="R43" s="61">
        <f>P43*0.25</f>
        <v>2992.0009047499784</v>
      </c>
      <c r="S43" s="61">
        <f>(P43/30)</f>
        <v>398.93345396666376</v>
      </c>
      <c r="T43" s="58">
        <f>S43*1.1479</f>
        <v>457.93571180833328</v>
      </c>
      <c r="U43" s="61">
        <f>O43*0.75</f>
        <v>4488.0013571249674</v>
      </c>
      <c r="V43" s="58">
        <f>O43*0.25</f>
        <v>1496.0004523749892</v>
      </c>
      <c r="W43" s="62">
        <v>0</v>
      </c>
      <c r="X43" s="63">
        <f>P43*W43</f>
        <v>0</v>
      </c>
      <c r="Y43" s="61">
        <v>663.67865599999993</v>
      </c>
      <c r="Z43" s="61">
        <v>0</v>
      </c>
      <c r="AA43" s="61">
        <f>(S43*45)/12</f>
        <v>1496.0004523749892</v>
      </c>
      <c r="AB43" s="61">
        <f>(S43*10)*(0.45*2)/12</f>
        <v>299.20009047499781</v>
      </c>
      <c r="AC43" s="61">
        <v>2015.2214249096633</v>
      </c>
      <c r="AD43" s="61">
        <v>1200.2723974352318</v>
      </c>
      <c r="AE43" s="61">
        <v>709.80035330291662</v>
      </c>
      <c r="AF43" s="61">
        <v>0</v>
      </c>
      <c r="AG43" s="61">
        <f>(P43+AA43+AB43)*0.03</f>
        <v>412.89612485549702</v>
      </c>
      <c r="AH43" s="64"/>
      <c r="AI43" s="64"/>
      <c r="AJ43" s="365">
        <v>2</v>
      </c>
      <c r="AK43" s="372" t="s">
        <v>42</v>
      </c>
      <c r="AL43" s="365">
        <v>16545</v>
      </c>
      <c r="AM43" s="372" t="s">
        <v>108</v>
      </c>
      <c r="AN43" s="383" t="s">
        <v>109</v>
      </c>
      <c r="AO43" s="368">
        <f t="shared" ref="AO43:AP43" si="60">Q43*3</f>
        <v>26928.008142749804</v>
      </c>
      <c r="AP43" s="368">
        <f t="shared" si="60"/>
        <v>8976.0027142499348</v>
      </c>
      <c r="AQ43" s="368">
        <f t="shared" ref="AQ43:AZ43" si="61">X43*3</f>
        <v>0</v>
      </c>
      <c r="AR43" s="368">
        <f t="shared" si="61"/>
        <v>1991.0359679999997</v>
      </c>
      <c r="AS43" s="368">
        <f t="shared" si="61"/>
        <v>0</v>
      </c>
      <c r="AT43" s="368">
        <f t="shared" si="61"/>
        <v>4488.0013571249674</v>
      </c>
      <c r="AU43" s="368">
        <f t="shared" si="61"/>
        <v>897.60027142499348</v>
      </c>
      <c r="AV43" s="368">
        <f t="shared" si="61"/>
        <v>6045.6642747289898</v>
      </c>
      <c r="AW43" s="368">
        <f t="shared" si="61"/>
        <v>3600.8171923056952</v>
      </c>
      <c r="AX43" s="368">
        <f t="shared" si="61"/>
        <v>2129.4010599087496</v>
      </c>
      <c r="AY43" s="368">
        <f t="shared" si="61"/>
        <v>0</v>
      </c>
      <c r="AZ43" s="368">
        <f t="shared" si="61"/>
        <v>1238.6883745664911</v>
      </c>
      <c r="BB43" s="64"/>
      <c r="BC43" s="66"/>
      <c r="BD43" s="66"/>
      <c r="BE43" s="66"/>
    </row>
    <row r="44" spans="1:177" s="96" customFormat="1" ht="21" customHeight="1" x14ac:dyDescent="0.2">
      <c r="A44" s="50"/>
      <c r="B44" s="468" t="s">
        <v>65</v>
      </c>
      <c r="C44" s="469"/>
      <c r="D44" s="469"/>
      <c r="E44" s="469"/>
      <c r="F44" s="470"/>
      <c r="G44" s="139"/>
      <c r="H44" s="89"/>
      <c r="I44" s="91">
        <f>SUM(I42)</f>
        <v>10702.648319999998</v>
      </c>
      <c r="J44" s="91">
        <f t="shared" ref="J44:AG44" si="62">SUM(J42)</f>
        <v>0</v>
      </c>
      <c r="K44" s="91">
        <f t="shared" si="62"/>
        <v>0</v>
      </c>
      <c r="L44" s="140">
        <f t="shared" si="62"/>
        <v>0</v>
      </c>
      <c r="M44" s="91">
        <f t="shared" si="62"/>
        <v>4.0000000000000002E-4</v>
      </c>
      <c r="N44" s="91">
        <f t="shared" si="62"/>
        <v>428.10593279999995</v>
      </c>
      <c r="O44" s="91">
        <f t="shared" si="62"/>
        <v>11130.754252799998</v>
      </c>
      <c r="P44" s="91">
        <f t="shared" si="62"/>
        <v>22261.508505599995</v>
      </c>
      <c r="Q44" s="91">
        <f t="shared" si="62"/>
        <v>16696.131379199996</v>
      </c>
      <c r="R44" s="91">
        <f t="shared" si="62"/>
        <v>5565.3771263999988</v>
      </c>
      <c r="S44" s="91">
        <f t="shared" si="62"/>
        <v>742.05028351999988</v>
      </c>
      <c r="T44" s="91">
        <f t="shared" si="62"/>
        <v>851.79952045260779</v>
      </c>
      <c r="U44" s="141">
        <f t="shared" si="62"/>
        <v>8348.0656895999982</v>
      </c>
      <c r="V44" s="91">
        <f t="shared" si="62"/>
        <v>2782.6885631999994</v>
      </c>
      <c r="W44" s="91">
        <f t="shared" si="62"/>
        <v>0</v>
      </c>
      <c r="X44" s="91">
        <f t="shared" si="62"/>
        <v>0</v>
      </c>
      <c r="Y44" s="91">
        <f t="shared" si="62"/>
        <v>1920.1697105971193</v>
      </c>
      <c r="Z44" s="91">
        <f t="shared" si="62"/>
        <v>0</v>
      </c>
      <c r="AA44" s="91">
        <f t="shared" si="62"/>
        <v>2782.6885631999994</v>
      </c>
      <c r="AB44" s="91">
        <f t="shared" si="62"/>
        <v>556.53771264</v>
      </c>
      <c r="AC44" s="91">
        <f t="shared" si="62"/>
        <v>3276.8126164944106</v>
      </c>
      <c r="AD44" s="91">
        <f t="shared" si="62"/>
        <v>2232.6091330823074</v>
      </c>
      <c r="AE44" s="91">
        <f t="shared" si="62"/>
        <v>1320.2892567015422</v>
      </c>
      <c r="AF44" s="91">
        <f t="shared" si="62"/>
        <v>0</v>
      </c>
      <c r="AG44" s="91">
        <f t="shared" si="62"/>
        <v>768.02204344319978</v>
      </c>
      <c r="AH44" s="92"/>
      <c r="AI44" s="92"/>
      <c r="AJ44" s="468" t="s">
        <v>65</v>
      </c>
      <c r="AK44" s="469"/>
      <c r="AL44" s="469"/>
      <c r="AM44" s="469"/>
      <c r="AN44" s="470"/>
      <c r="AO44" s="142">
        <f>SUM(AO42:AO43)</f>
        <v>227281.58469314975</v>
      </c>
      <c r="AP44" s="142">
        <f t="shared" ref="AP44:AZ44" si="63">SUM(AP42:AP43)</f>
        <v>75760.528231049917</v>
      </c>
      <c r="AQ44" s="142">
        <f t="shared" si="63"/>
        <v>0</v>
      </c>
      <c r="AR44" s="142">
        <f t="shared" si="63"/>
        <v>25033.07249516543</v>
      </c>
      <c r="AS44" s="142">
        <f t="shared" si="63"/>
        <v>0</v>
      </c>
      <c r="AT44" s="142">
        <f t="shared" si="63"/>
        <v>37880.264115524958</v>
      </c>
      <c r="AU44" s="142">
        <f t="shared" si="63"/>
        <v>7576.0528231049939</v>
      </c>
      <c r="AV44" s="142">
        <f t="shared" si="63"/>
        <v>45367.415672661911</v>
      </c>
      <c r="AW44" s="142">
        <f t="shared" si="63"/>
        <v>30392.126789293383</v>
      </c>
      <c r="AX44" s="142">
        <f t="shared" si="63"/>
        <v>17972.872140327254</v>
      </c>
      <c r="AY44" s="142">
        <f t="shared" si="63"/>
        <v>0</v>
      </c>
      <c r="AZ44" s="142">
        <f t="shared" si="63"/>
        <v>10454.952895884888</v>
      </c>
      <c r="BA44" s="94"/>
      <c r="BB44" s="92"/>
      <c r="BC44" s="95"/>
      <c r="BD44" s="95"/>
      <c r="BE44" s="95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  <c r="FP44" s="50"/>
      <c r="FQ44" s="50"/>
      <c r="FR44" s="50"/>
      <c r="FS44" s="50"/>
      <c r="FT44" s="50"/>
      <c r="FU44" s="50"/>
    </row>
    <row r="45" spans="1:177" s="364" customFormat="1" ht="21" customHeight="1" x14ac:dyDescent="0.2">
      <c r="B45" s="369">
        <v>3</v>
      </c>
      <c r="C45" s="376" t="s">
        <v>66</v>
      </c>
      <c r="D45" s="369">
        <v>1100</v>
      </c>
      <c r="E45" s="371" t="s">
        <v>110</v>
      </c>
      <c r="F45" s="385" t="s">
        <v>111</v>
      </c>
      <c r="G45" s="55">
        <v>43514</v>
      </c>
      <c r="H45" s="55" t="str">
        <f xml:space="preserve"> CONCATENATE(DATEDIF(G45,H$5,"Y")," AÑOS")</f>
        <v>5 AÑOS</v>
      </c>
      <c r="I45" s="57">
        <v>5563.2046025289292</v>
      </c>
      <c r="J45" s="386">
        <v>6330.5</v>
      </c>
      <c r="K45" s="108">
        <f>J45-I45</f>
        <v>767.29539747107083</v>
      </c>
      <c r="L45" s="109">
        <f>K45*100/I45</f>
        <v>13.792327485533654</v>
      </c>
      <c r="M45" s="60">
        <v>1.379E-3</v>
      </c>
      <c r="N45" s="61">
        <f>I45*0.1379</f>
        <v>767.16591468873935</v>
      </c>
      <c r="O45" s="58">
        <f>I45+N45</f>
        <v>6330.3705172176687</v>
      </c>
      <c r="P45" s="61">
        <f>O45*2</f>
        <v>12660.741034435337</v>
      </c>
      <c r="Q45" s="61">
        <f>P45*0.75</f>
        <v>9495.5557758265022</v>
      </c>
      <c r="R45" s="61">
        <f>P45*0.25</f>
        <v>3165.1852586088344</v>
      </c>
      <c r="S45" s="61">
        <f>(P45/30)</f>
        <v>422.02470114784461</v>
      </c>
      <c r="T45" s="58">
        <f>S45*1.1479</f>
        <v>484.44215444761079</v>
      </c>
      <c r="U45" s="61">
        <f>O45*0.75</f>
        <v>4747.7778879132511</v>
      </c>
      <c r="V45" s="58">
        <f>O45*0.25</f>
        <v>1582.5926293044172</v>
      </c>
      <c r="W45" s="101">
        <v>2.5000000000000001E-2</v>
      </c>
      <c r="X45" s="63">
        <f>P45*W45</f>
        <v>316.51852586088347</v>
      </c>
      <c r="Y45" s="61">
        <v>720.18</v>
      </c>
      <c r="Z45" s="61">
        <v>0</v>
      </c>
      <c r="AA45" s="61">
        <f>(S45*45)/12</f>
        <v>1582.5926293044174</v>
      </c>
      <c r="AB45" s="61">
        <f>(S45*10)*(0.45*2)/12</f>
        <v>316.51852586088347</v>
      </c>
      <c r="AC45" s="61">
        <v>2100.1246168761049</v>
      </c>
      <c r="AD45" s="61">
        <v>1269.7471089149103</v>
      </c>
      <c r="AE45" s="61">
        <v>750.88533939379681</v>
      </c>
      <c r="AF45" s="61">
        <v>0</v>
      </c>
      <c r="AG45" s="61">
        <f>(P45+AA45+AB45)*0.03</f>
        <v>436.79556568801917</v>
      </c>
      <c r="AH45" s="64"/>
      <c r="AI45" s="64"/>
      <c r="AJ45" s="369">
        <v>3</v>
      </c>
      <c r="AK45" s="376" t="s">
        <v>66</v>
      </c>
      <c r="AL45" s="369">
        <v>1100</v>
      </c>
      <c r="AM45" s="371" t="s">
        <v>110</v>
      </c>
      <c r="AN45" s="385" t="s">
        <v>111</v>
      </c>
      <c r="AO45" s="368">
        <f t="shared" ref="AO45:AP48" si="64">Q45*3</f>
        <v>28486.667327479507</v>
      </c>
      <c r="AP45" s="368">
        <f t="shared" si="64"/>
        <v>9495.5557758265022</v>
      </c>
      <c r="AQ45" s="368">
        <f t="shared" ref="AQ45:AZ48" si="65">X45*3</f>
        <v>949.55557758265036</v>
      </c>
      <c r="AR45" s="368">
        <f t="shared" si="65"/>
        <v>2160.54</v>
      </c>
      <c r="AS45" s="368">
        <f t="shared" si="65"/>
        <v>0</v>
      </c>
      <c r="AT45" s="368">
        <f t="shared" si="65"/>
        <v>4747.777887913252</v>
      </c>
      <c r="AU45" s="368">
        <f t="shared" si="65"/>
        <v>949.55557758265036</v>
      </c>
      <c r="AV45" s="368">
        <f t="shared" si="65"/>
        <v>6300.3738506283153</v>
      </c>
      <c r="AW45" s="368">
        <f t="shared" si="65"/>
        <v>3809.2413267447309</v>
      </c>
      <c r="AX45" s="368">
        <f t="shared" si="65"/>
        <v>2252.6560181813902</v>
      </c>
      <c r="AY45" s="368">
        <f t="shared" si="65"/>
        <v>0</v>
      </c>
      <c r="AZ45" s="368">
        <f t="shared" si="65"/>
        <v>1310.3866970640574</v>
      </c>
      <c r="BB45" s="64"/>
      <c r="BC45" s="66"/>
      <c r="BD45" s="66"/>
      <c r="BE45" s="66"/>
    </row>
    <row r="46" spans="1:177" s="364" customFormat="1" ht="21" customHeight="1" x14ac:dyDescent="0.2">
      <c r="B46" s="365">
        <v>4</v>
      </c>
      <c r="C46" s="372" t="s">
        <v>66</v>
      </c>
      <c r="D46" s="365">
        <v>9131</v>
      </c>
      <c r="E46" s="371" t="s">
        <v>112</v>
      </c>
      <c r="F46" s="385" t="s">
        <v>113</v>
      </c>
      <c r="G46" s="55">
        <v>44501</v>
      </c>
      <c r="H46" s="55" t="str">
        <f xml:space="preserve"> CONCATENATE(DATEDIF(G46,H$5,"Y")," AÑOS")</f>
        <v>3 AÑOS</v>
      </c>
      <c r="I46" s="57">
        <v>4913.3043129948901</v>
      </c>
      <c r="J46" s="387">
        <v>5984.31</v>
      </c>
      <c r="K46" s="172">
        <f>J46-I46</f>
        <v>1071.0056870051103</v>
      </c>
      <c r="L46" s="173">
        <f>K46*100/I46</f>
        <v>21.798073532153804</v>
      </c>
      <c r="M46" s="60">
        <v>2.1800000000000001E-3</v>
      </c>
      <c r="N46" s="61">
        <f>I46*0.2179</f>
        <v>1070.6090098015866</v>
      </c>
      <c r="O46" s="58">
        <f>I46+N46</f>
        <v>5983.9133227964767</v>
      </c>
      <c r="P46" s="61">
        <f>O46*2</f>
        <v>11967.826645592953</v>
      </c>
      <c r="Q46" s="61">
        <f>P46*0.75</f>
        <v>8975.8699841947146</v>
      </c>
      <c r="R46" s="61">
        <f>P46*0.25</f>
        <v>2991.9566613982383</v>
      </c>
      <c r="S46" s="61">
        <f>(P46/30)</f>
        <v>398.92755485309846</v>
      </c>
      <c r="T46" s="58">
        <f>S46*1.1479</f>
        <v>457.92894021587171</v>
      </c>
      <c r="U46" s="61">
        <f>O46*0.75</f>
        <v>4487.9349920973573</v>
      </c>
      <c r="V46" s="58">
        <f>O46*0.25</f>
        <v>1495.9783306991192</v>
      </c>
      <c r="W46" s="101">
        <v>0</v>
      </c>
      <c r="X46" s="63">
        <f>P46*W46</f>
        <v>0</v>
      </c>
      <c r="Y46" s="61">
        <v>663.67865599999993</v>
      </c>
      <c r="Z46" s="61">
        <v>0</v>
      </c>
      <c r="AA46" s="61">
        <f>(S46*45)/12</f>
        <v>1495.9783306991192</v>
      </c>
      <c r="AB46" s="61">
        <f>(S46*10)*(0.45*2)/12</f>
        <v>299.19566613982386</v>
      </c>
      <c r="AC46" s="61">
        <v>2015.1997347182439</v>
      </c>
      <c r="AD46" s="61">
        <v>1200.2546487528107</v>
      </c>
      <c r="AE46" s="61">
        <v>709.78985733460115</v>
      </c>
      <c r="AF46" s="61">
        <v>0</v>
      </c>
      <c r="AG46" s="61">
        <f>(P46+AA46+AB46)*0.03</f>
        <v>412.89001927295686</v>
      </c>
      <c r="AH46" s="64"/>
      <c r="AI46" s="64"/>
      <c r="AJ46" s="365">
        <v>4</v>
      </c>
      <c r="AK46" s="372" t="s">
        <v>66</v>
      </c>
      <c r="AL46" s="365">
        <v>9131</v>
      </c>
      <c r="AM46" s="371" t="s">
        <v>112</v>
      </c>
      <c r="AN46" s="385" t="s">
        <v>113</v>
      </c>
      <c r="AO46" s="368">
        <f t="shared" si="64"/>
        <v>26927.609952584142</v>
      </c>
      <c r="AP46" s="368">
        <f t="shared" si="64"/>
        <v>8975.8699841947146</v>
      </c>
      <c r="AQ46" s="368">
        <f t="shared" si="65"/>
        <v>0</v>
      </c>
      <c r="AR46" s="368">
        <f t="shared" si="65"/>
        <v>1991.0359679999997</v>
      </c>
      <c r="AS46" s="368">
        <f t="shared" si="65"/>
        <v>0</v>
      </c>
      <c r="AT46" s="368">
        <f t="shared" si="65"/>
        <v>4487.9349920973573</v>
      </c>
      <c r="AU46" s="368">
        <f t="shared" si="65"/>
        <v>897.58699841947157</v>
      </c>
      <c r="AV46" s="368">
        <f t="shared" si="65"/>
        <v>6045.5992041547315</v>
      </c>
      <c r="AW46" s="368">
        <f t="shared" si="65"/>
        <v>3600.763946258432</v>
      </c>
      <c r="AX46" s="368">
        <f t="shared" si="65"/>
        <v>2129.3695720038036</v>
      </c>
      <c r="AY46" s="368">
        <f t="shared" si="65"/>
        <v>0</v>
      </c>
      <c r="AZ46" s="368">
        <f t="shared" si="65"/>
        <v>1238.6700578188706</v>
      </c>
      <c r="BB46" s="64"/>
      <c r="BC46" s="66"/>
      <c r="BD46" s="66"/>
      <c r="BE46" s="66"/>
    </row>
    <row r="47" spans="1:177" s="364" customFormat="1" ht="21" customHeight="1" x14ac:dyDescent="0.2">
      <c r="B47" s="369">
        <v>6</v>
      </c>
      <c r="C47" s="372" t="s">
        <v>66</v>
      </c>
      <c r="D47" s="365">
        <v>21003</v>
      </c>
      <c r="E47" s="372" t="s">
        <v>114</v>
      </c>
      <c r="F47" s="385" t="s">
        <v>115</v>
      </c>
      <c r="G47" s="55">
        <v>40452</v>
      </c>
      <c r="H47" s="55" t="str">
        <f xml:space="preserve"> CONCATENATE(DATEDIF(G47,H$5,"Y")," AÑOS")</f>
        <v>14 AÑOS</v>
      </c>
      <c r="I47" s="57">
        <v>4076.534985486393</v>
      </c>
      <c r="J47" s="388">
        <v>6768.8</v>
      </c>
      <c r="K47" s="174">
        <f>J47-I47</f>
        <v>2692.2650145136072</v>
      </c>
      <c r="L47" s="173">
        <f>K47*100/I47</f>
        <v>66.042975813989699</v>
      </c>
      <c r="M47" s="60">
        <v>6.6039999999999996E-3</v>
      </c>
      <c r="N47" s="61">
        <f>I47*0.660429</f>
        <v>2692.2619239297933</v>
      </c>
      <c r="O47" s="58">
        <f>I47+N47</f>
        <v>6768.7969094161863</v>
      </c>
      <c r="P47" s="61">
        <f>O47*2</f>
        <v>13537.593818832373</v>
      </c>
      <c r="Q47" s="61">
        <f>P47*0.75</f>
        <v>10153.19536412428</v>
      </c>
      <c r="R47" s="61">
        <f>P47*0.25</f>
        <v>3384.3984547080931</v>
      </c>
      <c r="S47" s="61">
        <f>(P47/30)</f>
        <v>451.25312729441242</v>
      </c>
      <c r="T47" s="58">
        <f>S47*1.1479</f>
        <v>517.993464821256</v>
      </c>
      <c r="U47" s="61">
        <f>O47*0.75</f>
        <v>5076.5976820621399</v>
      </c>
      <c r="V47" s="58">
        <f>O47*0.25</f>
        <v>1692.1992273540466</v>
      </c>
      <c r="W47" s="101">
        <v>0.05</v>
      </c>
      <c r="X47" s="63">
        <f>P47*W47</f>
        <v>676.87969094161872</v>
      </c>
      <c r="Y47" s="61">
        <v>791.70663449221752</v>
      </c>
      <c r="Z47" s="61">
        <v>0</v>
      </c>
      <c r="AA47" s="61">
        <f>(S47*45)/12</f>
        <v>1692.1992273540466</v>
      </c>
      <c r="AB47" s="61">
        <f>(S47*10)*(0.45*2)/12</f>
        <v>338.4398454708093</v>
      </c>
      <c r="AC47" s="61">
        <v>2207.5929042166244</v>
      </c>
      <c r="AD47" s="61">
        <v>1357.6864205387744</v>
      </c>
      <c r="AE47" s="61">
        <v>802.88966323996135</v>
      </c>
      <c r="AF47" s="61">
        <v>0</v>
      </c>
      <c r="AG47" s="61">
        <f>(P47+AA47+AB47)*0.03</f>
        <v>467.04698674971689</v>
      </c>
      <c r="AH47" s="64"/>
      <c r="AI47" s="64" t="s">
        <v>116</v>
      </c>
      <c r="AJ47" s="369">
        <v>6</v>
      </c>
      <c r="AK47" s="372" t="s">
        <v>66</v>
      </c>
      <c r="AL47" s="365">
        <v>21003</v>
      </c>
      <c r="AM47" s="372" t="s">
        <v>114</v>
      </c>
      <c r="AN47" s="385" t="s">
        <v>115</v>
      </c>
      <c r="AO47" s="368">
        <f t="shared" si="64"/>
        <v>30459.58609237284</v>
      </c>
      <c r="AP47" s="368">
        <f t="shared" si="64"/>
        <v>10153.19536412428</v>
      </c>
      <c r="AQ47" s="368">
        <f t="shared" si="65"/>
        <v>2030.6390728248562</v>
      </c>
      <c r="AR47" s="368">
        <f t="shared" si="65"/>
        <v>2375.1199034766523</v>
      </c>
      <c r="AS47" s="368">
        <f t="shared" si="65"/>
        <v>0</v>
      </c>
      <c r="AT47" s="368">
        <f t="shared" si="65"/>
        <v>5076.5976820621399</v>
      </c>
      <c r="AU47" s="368">
        <f t="shared" si="65"/>
        <v>1015.3195364124279</v>
      </c>
      <c r="AV47" s="368">
        <f t="shared" si="65"/>
        <v>6622.7787126498733</v>
      </c>
      <c r="AW47" s="368">
        <f t="shared" si="65"/>
        <v>4073.0592616163231</v>
      </c>
      <c r="AX47" s="368">
        <f t="shared" si="65"/>
        <v>2408.6689897198839</v>
      </c>
      <c r="AY47" s="368">
        <f t="shared" si="65"/>
        <v>0</v>
      </c>
      <c r="AZ47" s="368">
        <f t="shared" si="65"/>
        <v>1401.1409602491508</v>
      </c>
      <c r="BB47" s="64"/>
      <c r="BC47" s="66"/>
      <c r="BD47" s="66"/>
      <c r="BE47" s="66"/>
    </row>
    <row r="48" spans="1:177" s="364" customFormat="1" ht="21" customHeight="1" x14ac:dyDescent="0.2">
      <c r="B48" s="365">
        <v>7</v>
      </c>
      <c r="C48" s="372" t="s">
        <v>66</v>
      </c>
      <c r="D48" s="365">
        <v>6169</v>
      </c>
      <c r="E48" s="372" t="s">
        <v>117</v>
      </c>
      <c r="F48" s="389" t="s">
        <v>118</v>
      </c>
      <c r="G48" s="390">
        <v>45459</v>
      </c>
      <c r="H48" s="56" t="str">
        <f xml:space="preserve"> CONCATENATE(DATEDIF(G48,H$5,"Y")," AÑOS")</f>
        <v>0 AÑOS</v>
      </c>
      <c r="I48" s="57">
        <v>4664.517108975404</v>
      </c>
      <c r="J48" s="58"/>
      <c r="K48" s="58"/>
      <c r="L48" s="59"/>
      <c r="M48" s="60">
        <v>4.0000000000000002E-4</v>
      </c>
      <c r="N48" s="61">
        <f>I48*0.04</f>
        <v>186.58068435901617</v>
      </c>
      <c r="O48" s="58">
        <f>I48+N48</f>
        <v>4851.0977933344202</v>
      </c>
      <c r="P48" s="61">
        <f>O48*2</f>
        <v>9702.1955866688404</v>
      </c>
      <c r="Q48" s="61">
        <f>P48*0.75</f>
        <v>7276.6466900016303</v>
      </c>
      <c r="R48" s="61">
        <f>P48*0.25</f>
        <v>2425.5488966672101</v>
      </c>
      <c r="S48" s="61">
        <f>(P48/30)</f>
        <v>323.40651955562799</v>
      </c>
      <c r="T48" s="58">
        <f>S48*1.1479</f>
        <v>371.23834379790537</v>
      </c>
      <c r="U48" s="61">
        <f>O48*0.75</f>
        <v>3638.3233450008152</v>
      </c>
      <c r="V48" s="58">
        <f>O48*0.25</f>
        <v>1212.7744483336051</v>
      </c>
      <c r="W48" s="101">
        <v>2.5000000000000001E-2</v>
      </c>
      <c r="X48" s="63">
        <f>P48*W48</f>
        <v>242.55488966672101</v>
      </c>
      <c r="Y48" s="61">
        <v>263.93842387217734</v>
      </c>
      <c r="Z48" s="61">
        <v>0</v>
      </c>
      <c r="AA48" s="61">
        <f>(S48*45)/12</f>
        <v>1212.7744483336051</v>
      </c>
      <c r="AB48" s="61">
        <f>(S48*10)*(0.45*2)/12</f>
        <v>242.55488966672101</v>
      </c>
      <c r="AC48" s="61">
        <v>1737.5197589657307</v>
      </c>
      <c r="AD48" s="61">
        <v>921.24651205169198</v>
      </c>
      <c r="AE48" s="61">
        <v>575.41943288675327</v>
      </c>
      <c r="AF48" s="61">
        <v>0</v>
      </c>
      <c r="AG48" s="61">
        <f>(P48+AA48+AB48)*0.03</f>
        <v>334.72574774007495</v>
      </c>
      <c r="AH48" s="64"/>
      <c r="AI48" s="64"/>
      <c r="AJ48" s="365">
        <v>7</v>
      </c>
      <c r="AK48" s="372" t="s">
        <v>66</v>
      </c>
      <c r="AL48" s="365">
        <v>6169</v>
      </c>
      <c r="AM48" s="372" t="s">
        <v>117</v>
      </c>
      <c r="AN48" s="389" t="s">
        <v>118</v>
      </c>
      <c r="AO48" s="368">
        <f t="shared" si="64"/>
        <v>21829.94007000489</v>
      </c>
      <c r="AP48" s="368">
        <f t="shared" si="64"/>
        <v>7276.6466900016303</v>
      </c>
      <c r="AQ48" s="368">
        <f t="shared" si="65"/>
        <v>727.66466900016303</v>
      </c>
      <c r="AR48" s="368">
        <f t="shared" si="65"/>
        <v>791.81527161653207</v>
      </c>
      <c r="AS48" s="368">
        <f t="shared" si="65"/>
        <v>0</v>
      </c>
      <c r="AT48" s="368">
        <f t="shared" si="65"/>
        <v>3638.3233450008152</v>
      </c>
      <c r="AU48" s="368">
        <f t="shared" si="65"/>
        <v>727.66466900016303</v>
      </c>
      <c r="AV48" s="368">
        <f t="shared" si="65"/>
        <v>5212.5592768971919</v>
      </c>
      <c r="AW48" s="368">
        <f t="shared" si="65"/>
        <v>2763.7395361550762</v>
      </c>
      <c r="AX48" s="368">
        <f t="shared" si="65"/>
        <v>1726.2582986602597</v>
      </c>
      <c r="AY48" s="368">
        <f t="shared" si="65"/>
        <v>0</v>
      </c>
      <c r="AZ48" s="368">
        <f t="shared" si="65"/>
        <v>1004.1772432202249</v>
      </c>
      <c r="BB48" s="64"/>
      <c r="BC48" s="66"/>
      <c r="BD48" s="66"/>
      <c r="BE48" s="66"/>
    </row>
    <row r="49" spans="1:177" s="96" customFormat="1" ht="21" customHeight="1" x14ac:dyDescent="0.2">
      <c r="A49" s="50"/>
      <c r="B49" s="455" t="s">
        <v>99</v>
      </c>
      <c r="C49" s="456"/>
      <c r="D49" s="456"/>
      <c r="E49" s="143">
        <v>7</v>
      </c>
      <c r="F49" s="88" t="s">
        <v>100</v>
      </c>
      <c r="G49" s="139"/>
      <c r="H49" s="90"/>
      <c r="I49" s="91">
        <f t="shared" ref="I49:AG49" si="66">SUM(I45:I48)</f>
        <v>19217.561009985617</v>
      </c>
      <c r="J49" s="91">
        <f t="shared" si="66"/>
        <v>19083.61</v>
      </c>
      <c r="K49" s="91">
        <f t="shared" si="66"/>
        <v>4530.5660989897879</v>
      </c>
      <c r="L49" s="140">
        <f t="shared" si="66"/>
        <v>101.63337683167715</v>
      </c>
      <c r="M49" s="91">
        <f t="shared" si="66"/>
        <v>1.0562999999999999E-2</v>
      </c>
      <c r="N49" s="91">
        <f t="shared" si="66"/>
        <v>4716.6175327791352</v>
      </c>
      <c r="O49" s="91">
        <f t="shared" si="66"/>
        <v>23934.178542764748</v>
      </c>
      <c r="P49" s="91">
        <f t="shared" si="66"/>
        <v>47868.357085529497</v>
      </c>
      <c r="Q49" s="91">
        <f t="shared" si="66"/>
        <v>35901.267814147126</v>
      </c>
      <c r="R49" s="91">
        <f t="shared" si="66"/>
        <v>11967.089271382374</v>
      </c>
      <c r="S49" s="91">
        <f t="shared" si="66"/>
        <v>1595.6119028509834</v>
      </c>
      <c r="T49" s="91">
        <f t="shared" si="66"/>
        <v>1831.6029032826439</v>
      </c>
      <c r="U49" s="141">
        <f t="shared" si="66"/>
        <v>17950.633907073563</v>
      </c>
      <c r="V49" s="91">
        <f t="shared" si="66"/>
        <v>5983.5446356911871</v>
      </c>
      <c r="W49" s="91">
        <f t="shared" si="66"/>
        <v>0.1</v>
      </c>
      <c r="X49" s="91">
        <f t="shared" si="66"/>
        <v>1235.9531064692233</v>
      </c>
      <c r="Y49" s="91">
        <f t="shared" si="66"/>
        <v>2439.5037143643945</v>
      </c>
      <c r="Z49" s="91">
        <f t="shared" si="66"/>
        <v>0</v>
      </c>
      <c r="AA49" s="91">
        <f t="shared" si="66"/>
        <v>5983.5446356911889</v>
      </c>
      <c r="AB49" s="91">
        <f t="shared" si="66"/>
        <v>1196.7089271382376</v>
      </c>
      <c r="AC49" s="91">
        <f t="shared" si="66"/>
        <v>8060.437014776704</v>
      </c>
      <c r="AD49" s="91">
        <f t="shared" si="66"/>
        <v>4748.9346902581874</v>
      </c>
      <c r="AE49" s="91">
        <f t="shared" si="66"/>
        <v>2838.9842928551129</v>
      </c>
      <c r="AF49" s="91">
        <f t="shared" si="66"/>
        <v>0</v>
      </c>
      <c r="AG49" s="91">
        <f t="shared" si="66"/>
        <v>1651.4583194507677</v>
      </c>
      <c r="AH49" s="64"/>
      <c r="AI49" s="64"/>
      <c r="AJ49" s="455" t="s">
        <v>99</v>
      </c>
      <c r="AK49" s="456"/>
      <c r="AL49" s="456"/>
      <c r="AM49" s="143">
        <v>7</v>
      </c>
      <c r="AN49" s="88" t="s">
        <v>100</v>
      </c>
      <c r="AO49" s="144">
        <f>SUM(AO45:AO48)+167861.92</f>
        <v>275565.72344244138</v>
      </c>
      <c r="AP49" s="144">
        <f>SUM(AP45:AP48)+55953.98</f>
        <v>91855.247814147122</v>
      </c>
      <c r="AQ49" s="144">
        <f>SUM(AQ45:AQ48)+4670</f>
        <v>8377.8593194076693</v>
      </c>
      <c r="AR49" s="144">
        <f>SUM(AR45:AR48)+12129.63</f>
        <v>19448.141143093184</v>
      </c>
      <c r="AS49" s="144">
        <f>SUM(AS45:AS48)</f>
        <v>0</v>
      </c>
      <c r="AT49" s="144">
        <f>SUM(AT45:AT48)+27976.99</f>
        <v>45927.623907073561</v>
      </c>
      <c r="AU49" s="144">
        <f>SUM(AU45:AU48)+5595.4</f>
        <v>9185.5267814147119</v>
      </c>
      <c r="AV49" s="144">
        <f>SUM(AV45:AV48)+37268.71</f>
        <v>61450.021044330111</v>
      </c>
      <c r="AW49" s="144">
        <f>SUM(AW45:AW48)+22293.94</f>
        <v>36540.744070774563</v>
      </c>
      <c r="AX49" s="144">
        <f>SUM(AX45:AX48)+13250.06</f>
        <v>21767.012878565336</v>
      </c>
      <c r="AY49" s="144">
        <f>SUM(AY45:AY48)</f>
        <v>0</v>
      </c>
      <c r="AZ49" s="144">
        <f>SUM(AZ45:AZ48)+7721.64</f>
        <v>12676.014958352305</v>
      </c>
      <c r="BA49" s="94"/>
      <c r="BB49" s="92"/>
      <c r="BC49" s="95"/>
      <c r="BD49" s="95"/>
      <c r="BE49" s="95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  <c r="FP49" s="50"/>
      <c r="FQ49" s="50"/>
      <c r="FR49" s="50"/>
      <c r="FS49" s="50"/>
      <c r="FT49" s="50"/>
      <c r="FU49" s="50"/>
    </row>
    <row r="50" spans="1:177" ht="21" customHeight="1" x14ac:dyDescent="0.2">
      <c r="B50" s="457" t="s">
        <v>101</v>
      </c>
      <c r="C50" s="458"/>
      <c r="D50" s="458"/>
      <c r="E50" s="76">
        <v>7</v>
      </c>
      <c r="F50" s="145" t="s">
        <v>119</v>
      </c>
      <c r="G50" s="146"/>
      <c r="H50" s="147"/>
      <c r="I50" s="57">
        <f t="shared" ref="I50:AG50" si="67">I44+I49</f>
        <v>29920.209329985613</v>
      </c>
      <c r="J50" s="57">
        <f t="shared" si="67"/>
        <v>19083.61</v>
      </c>
      <c r="K50" s="57">
        <f t="shared" si="67"/>
        <v>4530.5660989897879</v>
      </c>
      <c r="L50" s="74">
        <f t="shared" si="67"/>
        <v>101.63337683167715</v>
      </c>
      <c r="M50" s="57">
        <f t="shared" si="67"/>
        <v>1.0962999999999999E-2</v>
      </c>
      <c r="N50" s="57">
        <f t="shared" si="67"/>
        <v>5144.7234655791353</v>
      </c>
      <c r="O50" s="57">
        <f t="shared" si="67"/>
        <v>35064.932795564746</v>
      </c>
      <c r="P50" s="57">
        <f t="shared" si="67"/>
        <v>70129.865591129492</v>
      </c>
      <c r="Q50" s="57">
        <f t="shared" si="67"/>
        <v>52597.399193347126</v>
      </c>
      <c r="R50" s="57">
        <f t="shared" si="67"/>
        <v>17532.466397782373</v>
      </c>
      <c r="S50" s="57">
        <f t="shared" si="67"/>
        <v>2337.6621863709834</v>
      </c>
      <c r="T50" s="57">
        <f t="shared" si="67"/>
        <v>2683.4024237352514</v>
      </c>
      <c r="U50" s="81">
        <f t="shared" si="67"/>
        <v>26298.699596673563</v>
      </c>
      <c r="V50" s="57">
        <f t="shared" si="67"/>
        <v>8766.2331988911865</v>
      </c>
      <c r="W50" s="57">
        <f t="shared" si="67"/>
        <v>0.1</v>
      </c>
      <c r="X50" s="57">
        <f t="shared" si="67"/>
        <v>1235.9531064692233</v>
      </c>
      <c r="Y50" s="57">
        <f t="shared" si="67"/>
        <v>4359.6734249615138</v>
      </c>
      <c r="Z50" s="57">
        <f t="shared" si="67"/>
        <v>0</v>
      </c>
      <c r="AA50" s="57">
        <f t="shared" si="67"/>
        <v>8766.2331988911883</v>
      </c>
      <c r="AB50" s="57">
        <f t="shared" si="67"/>
        <v>1753.2466397782377</v>
      </c>
      <c r="AC50" s="57">
        <f t="shared" si="67"/>
        <v>11337.249631271116</v>
      </c>
      <c r="AD50" s="57">
        <f t="shared" si="67"/>
        <v>6981.5438233404948</v>
      </c>
      <c r="AE50" s="57">
        <f t="shared" si="67"/>
        <v>4159.2735495566549</v>
      </c>
      <c r="AF50" s="57">
        <f t="shared" si="67"/>
        <v>0</v>
      </c>
      <c r="AG50" s="57">
        <f t="shared" si="67"/>
        <v>2419.4803628939676</v>
      </c>
      <c r="AH50" s="92">
        <f>Q50+R50-Y50+Z50+X50+AA50+AB50+AC50+AD50+AE50+AF50+AG50</f>
        <v>102423.17247836888</v>
      </c>
      <c r="AI50" s="92">
        <f>AH50*12</f>
        <v>1229078.0697404267</v>
      </c>
      <c r="AJ50" s="457" t="s">
        <v>101</v>
      </c>
      <c r="AK50" s="458"/>
      <c r="AL50" s="458"/>
      <c r="AM50" s="76">
        <v>7</v>
      </c>
      <c r="AN50" s="145" t="s">
        <v>119</v>
      </c>
      <c r="AO50" s="148">
        <f t="shared" ref="AO50:AZ50" si="68">AO44+AO49</f>
        <v>502847.3081355911</v>
      </c>
      <c r="AP50" s="149">
        <f t="shared" si="68"/>
        <v>167615.77604519704</v>
      </c>
      <c r="AQ50" s="149">
        <f t="shared" si="68"/>
        <v>8377.8593194076693</v>
      </c>
      <c r="AR50" s="149">
        <f t="shared" si="68"/>
        <v>44481.213638258618</v>
      </c>
      <c r="AS50" s="149">
        <f t="shared" si="68"/>
        <v>0</v>
      </c>
      <c r="AT50" s="149">
        <f t="shared" si="68"/>
        <v>83807.888022598519</v>
      </c>
      <c r="AU50" s="149">
        <f t="shared" si="68"/>
        <v>16761.579604519706</v>
      </c>
      <c r="AV50" s="149">
        <f t="shared" si="68"/>
        <v>106817.43671699203</v>
      </c>
      <c r="AW50" s="149">
        <f t="shared" si="68"/>
        <v>66932.870860067953</v>
      </c>
      <c r="AX50" s="149">
        <f t="shared" si="68"/>
        <v>39739.885018892586</v>
      </c>
      <c r="AY50" s="149">
        <f t="shared" si="68"/>
        <v>0</v>
      </c>
      <c r="AZ50" s="149">
        <f t="shared" si="68"/>
        <v>23130.967854237191</v>
      </c>
      <c r="BA50" s="94"/>
      <c r="BB50" s="92">
        <f>AO50+AP50+AQ50-AR50+AS50+AT50+AU50+AV50+AW50+AX50+AY50+AZ50</f>
        <v>971550.35793924541</v>
      </c>
      <c r="BC50" s="95"/>
      <c r="BD50" s="95"/>
      <c r="BE50" s="95"/>
    </row>
    <row r="51" spans="1:177" ht="21" customHeight="1" x14ac:dyDescent="0.2">
      <c r="B51" s="457" t="s">
        <v>103</v>
      </c>
      <c r="C51" s="458"/>
      <c r="D51" s="458"/>
      <c r="E51" s="76">
        <f>E49-E50</f>
        <v>0</v>
      </c>
      <c r="F51" s="76"/>
      <c r="G51" s="471"/>
      <c r="H51" s="471"/>
      <c r="I51" s="471"/>
      <c r="J51" s="471"/>
      <c r="K51" s="471"/>
      <c r="L51" s="471"/>
      <c r="M51" s="471"/>
      <c r="N51" s="471"/>
      <c r="O51" s="471"/>
      <c r="P51" s="471"/>
      <c r="Q51" s="471"/>
      <c r="R51" s="471"/>
      <c r="S51" s="471"/>
      <c r="T51" s="471"/>
      <c r="U51" s="471"/>
      <c r="V51" s="471"/>
      <c r="W51" s="471"/>
      <c r="X51" s="471"/>
      <c r="Y51" s="471"/>
      <c r="Z51" s="471"/>
      <c r="AA51" s="471"/>
      <c r="AB51" s="471"/>
      <c r="AC51" s="471"/>
      <c r="AD51" s="471"/>
      <c r="AE51" s="471"/>
      <c r="AF51" s="471"/>
      <c r="AG51" s="472"/>
      <c r="AH51" s="92"/>
      <c r="AI51" s="92"/>
      <c r="AJ51" s="457" t="s">
        <v>103</v>
      </c>
      <c r="AK51" s="458"/>
      <c r="AL51" s="458"/>
      <c r="AM51" s="76">
        <f>AM49-AM50</f>
        <v>0</v>
      </c>
      <c r="AN51" s="76"/>
      <c r="AO51" s="481"/>
      <c r="AP51" s="482"/>
      <c r="AQ51" s="482"/>
      <c r="AR51" s="482"/>
      <c r="AS51" s="482"/>
      <c r="AT51" s="482"/>
      <c r="AU51" s="482"/>
      <c r="AV51" s="482"/>
      <c r="AW51" s="482"/>
      <c r="AX51" s="482"/>
      <c r="AY51" s="482"/>
      <c r="AZ51" s="483"/>
      <c r="BA51" s="152"/>
      <c r="BB51" s="92"/>
      <c r="BC51" s="95"/>
      <c r="BD51" s="95"/>
      <c r="BE51" s="95"/>
    </row>
    <row r="52" spans="1:177" ht="21" customHeight="1" x14ac:dyDescent="0.2">
      <c r="B52" s="5"/>
      <c r="C52" s="94"/>
      <c r="D52" s="5"/>
      <c r="E52" s="94"/>
      <c r="G52" s="27"/>
      <c r="H52" s="27"/>
      <c r="I52" s="95"/>
      <c r="J52" s="95"/>
      <c r="K52" s="95"/>
      <c r="L52" s="27"/>
      <c r="M52" s="128"/>
      <c r="N52" s="66"/>
      <c r="O52" s="95"/>
      <c r="P52" s="66"/>
      <c r="Q52" s="66"/>
      <c r="R52" s="66"/>
      <c r="S52" s="66"/>
      <c r="T52" s="95"/>
      <c r="U52" s="66"/>
      <c r="V52" s="95"/>
      <c r="W52" s="129"/>
      <c r="X52" s="130"/>
      <c r="Y52" s="66"/>
      <c r="Z52" s="66"/>
      <c r="AA52" s="66"/>
      <c r="AB52" s="66"/>
      <c r="AC52" s="66"/>
      <c r="AD52" s="66"/>
      <c r="AE52" s="66"/>
      <c r="AF52" s="66"/>
      <c r="AG52" s="66"/>
      <c r="AH52" s="64"/>
      <c r="AI52" s="64"/>
      <c r="AJ52" s="5"/>
      <c r="AK52" s="94"/>
      <c r="AL52" s="5"/>
      <c r="AM52" s="94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2"/>
      <c r="BB52" s="92"/>
      <c r="BC52" s="95"/>
      <c r="BD52" s="95"/>
      <c r="BE52" s="95"/>
    </row>
    <row r="53" spans="1:177" ht="21" customHeight="1" thickBot="1" x14ac:dyDescent="0.25">
      <c r="B53" s="5"/>
      <c r="C53" s="94"/>
      <c r="D53" s="5"/>
      <c r="E53" s="94"/>
      <c r="G53" s="27"/>
      <c r="H53" s="27"/>
      <c r="I53" s="95"/>
      <c r="J53" s="95"/>
      <c r="K53" s="95"/>
      <c r="L53" s="27"/>
      <c r="M53" s="128"/>
      <c r="N53" s="66"/>
      <c r="O53" s="95"/>
      <c r="P53" s="66"/>
      <c r="Q53" s="66"/>
      <c r="R53" s="66"/>
      <c r="S53" s="66"/>
      <c r="T53" s="95"/>
      <c r="U53" s="66"/>
      <c r="V53" s="95"/>
      <c r="W53" s="129"/>
      <c r="X53" s="130"/>
      <c r="Y53" s="66"/>
      <c r="Z53" s="66"/>
      <c r="AA53" s="66"/>
      <c r="AB53" s="66"/>
      <c r="AC53" s="66"/>
      <c r="AD53" s="66"/>
      <c r="AE53" s="66"/>
      <c r="AF53" s="66"/>
      <c r="AG53" s="66"/>
      <c r="AH53" s="64"/>
      <c r="AI53" s="64"/>
      <c r="AJ53" s="5"/>
      <c r="AK53" s="94"/>
      <c r="AL53" s="5"/>
      <c r="AM53" s="94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2"/>
      <c r="BB53" s="92"/>
      <c r="BC53" s="95"/>
      <c r="BD53" s="95"/>
      <c r="BE53" s="95"/>
    </row>
    <row r="54" spans="1:177" s="134" customFormat="1" ht="21" customHeight="1" thickBot="1" x14ac:dyDescent="0.25">
      <c r="A54" s="94"/>
      <c r="B54" s="463" t="s">
        <v>120</v>
      </c>
      <c r="C54" s="464"/>
      <c r="D54" s="464"/>
      <c r="E54" s="465"/>
      <c r="F54" s="466" t="s">
        <v>4</v>
      </c>
      <c r="G54" s="7" t="s">
        <v>5</v>
      </c>
      <c r="H54" s="8" t="s">
        <v>6</v>
      </c>
      <c r="I54" s="9" t="s">
        <v>7</v>
      </c>
      <c r="J54" s="9"/>
      <c r="K54" s="9"/>
      <c r="L54" s="9"/>
      <c r="M54" s="10">
        <v>4.0000000000000002E-4</v>
      </c>
      <c r="N54" s="11" t="s">
        <v>8</v>
      </c>
      <c r="O54" s="12" t="s">
        <v>9</v>
      </c>
      <c r="P54" s="12" t="s">
        <v>10</v>
      </c>
      <c r="Q54" s="13" t="s">
        <v>11</v>
      </c>
      <c r="R54" s="12" t="s">
        <v>12</v>
      </c>
      <c r="S54" s="14" t="s">
        <v>11</v>
      </c>
      <c r="T54" s="15" t="s">
        <v>13</v>
      </c>
      <c r="U54" s="16" t="s">
        <v>11</v>
      </c>
      <c r="V54" s="17" t="s">
        <v>12</v>
      </c>
      <c r="W54" s="18" t="s">
        <v>14</v>
      </c>
      <c r="X54" s="19" t="s">
        <v>15</v>
      </c>
      <c r="Y54" s="15" t="s">
        <v>16</v>
      </c>
      <c r="Z54" s="13" t="s">
        <v>17</v>
      </c>
      <c r="AA54" s="20" t="s">
        <v>18</v>
      </c>
      <c r="AB54" s="17" t="s">
        <v>19</v>
      </c>
      <c r="AC54" s="13" t="s">
        <v>20</v>
      </c>
      <c r="AD54" s="13" t="s">
        <v>21</v>
      </c>
      <c r="AE54" s="13" t="s">
        <v>22</v>
      </c>
      <c r="AF54" s="17" t="s">
        <v>23</v>
      </c>
      <c r="AG54" s="12" t="s">
        <v>24</v>
      </c>
      <c r="AH54" s="132"/>
      <c r="AI54" s="132"/>
      <c r="AJ54" s="463" t="s">
        <v>120</v>
      </c>
      <c r="AK54" s="464"/>
      <c r="AL54" s="464"/>
      <c r="AM54" s="465"/>
      <c r="AN54" s="466" t="s">
        <v>4</v>
      </c>
      <c r="AO54" s="133" t="s">
        <v>11</v>
      </c>
      <c r="AP54" s="12" t="s">
        <v>12</v>
      </c>
      <c r="AQ54" s="23" t="s">
        <v>15</v>
      </c>
      <c r="AR54" s="22" t="s">
        <v>16</v>
      </c>
      <c r="AS54" s="22" t="s">
        <v>25</v>
      </c>
      <c r="AT54" s="20" t="s">
        <v>26</v>
      </c>
      <c r="AU54" s="24" t="s">
        <v>27</v>
      </c>
      <c r="AV54" s="23" t="s">
        <v>20</v>
      </c>
      <c r="AW54" s="22" t="s">
        <v>28</v>
      </c>
      <c r="AX54" s="22" t="s">
        <v>29</v>
      </c>
      <c r="AY54" s="25" t="s">
        <v>23</v>
      </c>
      <c r="AZ54" s="24" t="s">
        <v>24</v>
      </c>
      <c r="BA54" s="94"/>
      <c r="BB54" s="92"/>
      <c r="BC54" s="95"/>
      <c r="BD54" s="95"/>
      <c r="BE54" s="95"/>
      <c r="BF54" s="94"/>
      <c r="BG54" s="94"/>
      <c r="BH54" s="94"/>
      <c r="BI54" s="94"/>
      <c r="BJ54" s="94"/>
      <c r="BK54" s="94"/>
      <c r="BL54" s="94"/>
      <c r="BM54" s="94"/>
      <c r="BN54" s="94"/>
      <c r="BO54" s="94"/>
      <c r="BP54" s="94"/>
      <c r="BQ54" s="94"/>
      <c r="BR54" s="94"/>
      <c r="BS54" s="94"/>
      <c r="BT54" s="94"/>
      <c r="BU54" s="94"/>
      <c r="BV54" s="94"/>
      <c r="BW54" s="94"/>
      <c r="BX54" s="94"/>
      <c r="BY54" s="94"/>
      <c r="BZ54" s="94"/>
      <c r="CA54" s="94"/>
      <c r="CB54" s="94"/>
      <c r="CC54" s="94"/>
      <c r="CD54" s="94"/>
      <c r="CE54" s="94"/>
      <c r="CF54" s="94"/>
      <c r="CG54" s="94"/>
      <c r="CH54" s="94"/>
      <c r="CI54" s="94"/>
      <c r="CJ54" s="94"/>
      <c r="CK54" s="94"/>
      <c r="CL54" s="94"/>
      <c r="CM54" s="94"/>
      <c r="CN54" s="94"/>
      <c r="CO54" s="94"/>
      <c r="CP54" s="94"/>
      <c r="CQ54" s="94"/>
      <c r="CR54" s="94"/>
      <c r="CS54" s="94"/>
      <c r="CT54" s="94"/>
      <c r="CU54" s="94"/>
      <c r="CV54" s="94"/>
      <c r="CW54" s="94"/>
      <c r="CX54" s="94"/>
      <c r="CY54" s="94"/>
      <c r="CZ54" s="94"/>
      <c r="DA54" s="94"/>
      <c r="DB54" s="94"/>
      <c r="DC54" s="94"/>
      <c r="DD54" s="94"/>
      <c r="DE54" s="94"/>
      <c r="DF54" s="94"/>
      <c r="DG54" s="94"/>
      <c r="DH54" s="94"/>
      <c r="DI54" s="94"/>
      <c r="DJ54" s="94"/>
      <c r="DK54" s="94"/>
      <c r="DL54" s="94"/>
      <c r="DM54" s="94"/>
      <c r="DN54" s="94"/>
      <c r="DO54" s="94"/>
      <c r="DP54" s="94"/>
      <c r="DQ54" s="94"/>
      <c r="DR54" s="94"/>
      <c r="DS54" s="94"/>
      <c r="DT54" s="94"/>
      <c r="DU54" s="94"/>
      <c r="DV54" s="94"/>
      <c r="DW54" s="94"/>
      <c r="DX54" s="94"/>
      <c r="DY54" s="94"/>
      <c r="DZ54" s="94"/>
      <c r="EA54" s="94"/>
      <c r="EB54" s="94"/>
      <c r="EC54" s="94"/>
      <c r="ED54" s="94"/>
      <c r="EE54" s="94"/>
      <c r="EF54" s="94"/>
      <c r="EG54" s="94"/>
      <c r="EH54" s="94"/>
      <c r="EI54" s="94"/>
      <c r="EJ54" s="94"/>
      <c r="EK54" s="94"/>
      <c r="EL54" s="94"/>
      <c r="EM54" s="94"/>
      <c r="EN54" s="94"/>
      <c r="EO54" s="94"/>
      <c r="EP54" s="94"/>
      <c r="EQ54" s="94"/>
      <c r="ER54" s="94"/>
      <c r="ES54" s="94"/>
      <c r="ET54" s="94"/>
      <c r="EU54" s="94"/>
      <c r="EV54" s="94"/>
      <c r="EW54" s="94"/>
      <c r="EX54" s="94"/>
      <c r="EY54" s="94"/>
      <c r="EZ54" s="94"/>
      <c r="FA54" s="94"/>
      <c r="FB54" s="94"/>
      <c r="FC54" s="94"/>
      <c r="FD54" s="94"/>
      <c r="FE54" s="94"/>
      <c r="FF54" s="94"/>
      <c r="FG54" s="94"/>
      <c r="FH54" s="94"/>
      <c r="FI54" s="94"/>
      <c r="FJ54" s="94"/>
      <c r="FK54" s="94"/>
      <c r="FL54" s="94"/>
      <c r="FM54" s="94"/>
      <c r="FN54" s="94"/>
      <c r="FO54" s="94"/>
      <c r="FP54" s="94"/>
      <c r="FQ54" s="94"/>
      <c r="FR54" s="94"/>
      <c r="FS54" s="94"/>
      <c r="FT54" s="94"/>
      <c r="FU54" s="94"/>
    </row>
    <row r="55" spans="1:177" s="134" customFormat="1" ht="21" customHeight="1" thickBot="1" x14ac:dyDescent="0.25">
      <c r="A55" s="94"/>
      <c r="B55" s="30" t="s">
        <v>30</v>
      </c>
      <c r="C55" s="6" t="s">
        <v>31</v>
      </c>
      <c r="D55" s="30" t="s">
        <v>105</v>
      </c>
      <c r="E55" s="32" t="s">
        <v>32</v>
      </c>
      <c r="F55" s="467"/>
      <c r="G55" s="33" t="s">
        <v>33</v>
      </c>
      <c r="H55" s="34">
        <v>45657</v>
      </c>
      <c r="I55" s="35">
        <v>2023</v>
      </c>
      <c r="J55" s="35"/>
      <c r="K55" s="35"/>
      <c r="L55" s="35"/>
      <c r="M55" s="36"/>
      <c r="N55" s="37"/>
      <c r="O55" s="38">
        <v>2024</v>
      </c>
      <c r="P55" s="39" t="s">
        <v>34</v>
      </c>
      <c r="Q55" s="40" t="s">
        <v>35</v>
      </c>
      <c r="R55" s="39" t="s">
        <v>36</v>
      </c>
      <c r="S55" s="41" t="s">
        <v>37</v>
      </c>
      <c r="T55" s="42" t="s">
        <v>38</v>
      </c>
      <c r="U55" s="43" t="s">
        <v>39</v>
      </c>
      <c r="V55" s="41" t="s">
        <v>39</v>
      </c>
      <c r="W55" s="44" t="s">
        <v>15</v>
      </c>
      <c r="X55" s="45" t="s">
        <v>35</v>
      </c>
      <c r="Y55" s="42" t="s">
        <v>35</v>
      </c>
      <c r="Z55" s="40" t="s">
        <v>35</v>
      </c>
      <c r="AA55" s="46" t="s">
        <v>35</v>
      </c>
      <c r="AB55" s="41" t="s">
        <v>35</v>
      </c>
      <c r="AC55" s="40" t="s">
        <v>35</v>
      </c>
      <c r="AD55" s="40" t="s">
        <v>35</v>
      </c>
      <c r="AE55" s="40" t="s">
        <v>35</v>
      </c>
      <c r="AF55" s="41" t="s">
        <v>35</v>
      </c>
      <c r="AG55" s="40" t="s">
        <v>35</v>
      </c>
      <c r="AH55" s="135"/>
      <c r="AI55" s="135"/>
      <c r="AJ55" s="30" t="s">
        <v>30</v>
      </c>
      <c r="AK55" s="6" t="s">
        <v>31</v>
      </c>
      <c r="AL55" s="30" t="s">
        <v>105</v>
      </c>
      <c r="AM55" s="32" t="s">
        <v>32</v>
      </c>
      <c r="AN55" s="467"/>
      <c r="AO55" s="46" t="s">
        <v>40</v>
      </c>
      <c r="AP55" s="39" t="s">
        <v>41</v>
      </c>
      <c r="AQ55" s="48" t="s">
        <v>40</v>
      </c>
      <c r="AR55" s="49" t="s">
        <v>40</v>
      </c>
      <c r="AS55" s="49" t="s">
        <v>40</v>
      </c>
      <c r="AT55" s="46" t="s">
        <v>40</v>
      </c>
      <c r="AU55" s="49" t="s">
        <v>40</v>
      </c>
      <c r="AV55" s="48" t="s">
        <v>40</v>
      </c>
      <c r="AW55" s="49" t="s">
        <v>40</v>
      </c>
      <c r="AX55" s="49" t="s">
        <v>40</v>
      </c>
      <c r="AY55" s="48" t="s">
        <v>40</v>
      </c>
      <c r="AZ55" s="49" t="s">
        <v>40</v>
      </c>
      <c r="BA55" s="94"/>
      <c r="BB55" s="92"/>
      <c r="BC55" s="95"/>
      <c r="BD55" s="95"/>
      <c r="BE55" s="95"/>
      <c r="BF55" s="94"/>
      <c r="BG55" s="94"/>
      <c r="BH55" s="94"/>
      <c r="BI55" s="94"/>
      <c r="BJ55" s="94"/>
      <c r="BK55" s="94"/>
      <c r="BL55" s="94"/>
      <c r="BM55" s="94"/>
      <c r="BN55" s="94"/>
      <c r="BO55" s="94"/>
      <c r="BP55" s="94"/>
      <c r="BQ55" s="94"/>
      <c r="BR55" s="94"/>
      <c r="BS55" s="94"/>
      <c r="BT55" s="94"/>
      <c r="BU55" s="94"/>
      <c r="BV55" s="94"/>
      <c r="BW55" s="94"/>
      <c r="BX55" s="94"/>
      <c r="BY55" s="94"/>
      <c r="BZ55" s="94"/>
      <c r="CA55" s="94"/>
      <c r="CB55" s="94"/>
      <c r="CC55" s="94"/>
      <c r="CD55" s="94"/>
      <c r="CE55" s="94"/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  <c r="CX55" s="94"/>
      <c r="CY55" s="94"/>
      <c r="CZ55" s="94"/>
      <c r="DA55" s="94"/>
      <c r="DB55" s="94"/>
      <c r="DC55" s="94"/>
      <c r="DD55" s="94"/>
      <c r="DE55" s="94"/>
      <c r="DF55" s="94"/>
      <c r="DG55" s="94"/>
      <c r="DH55" s="94"/>
      <c r="DI55" s="94"/>
      <c r="DJ55" s="94"/>
      <c r="DK55" s="94"/>
      <c r="DL55" s="94"/>
      <c r="DM55" s="94"/>
      <c r="DN55" s="94"/>
      <c r="DO55" s="94"/>
      <c r="DP55" s="94"/>
      <c r="DQ55" s="94"/>
      <c r="DR55" s="94"/>
      <c r="DS55" s="94"/>
      <c r="DT55" s="94"/>
      <c r="DU55" s="94"/>
      <c r="DV55" s="94"/>
      <c r="DW55" s="94"/>
      <c r="DX55" s="94"/>
      <c r="DY55" s="94"/>
      <c r="DZ55" s="94"/>
      <c r="EA55" s="94"/>
      <c r="EB55" s="94"/>
      <c r="EC55" s="94"/>
      <c r="ED55" s="94"/>
      <c r="EE55" s="94"/>
      <c r="EF55" s="94"/>
      <c r="EG55" s="94"/>
      <c r="EH55" s="94"/>
      <c r="EI55" s="94"/>
      <c r="EJ55" s="94"/>
      <c r="EK55" s="94"/>
      <c r="EL55" s="94"/>
      <c r="EM55" s="94"/>
      <c r="EN55" s="94"/>
      <c r="EO55" s="94"/>
      <c r="EP55" s="94"/>
      <c r="EQ55" s="94"/>
      <c r="ER55" s="94"/>
      <c r="ES55" s="94"/>
      <c r="ET55" s="94"/>
      <c r="EU55" s="94"/>
      <c r="EV55" s="94"/>
      <c r="EW55" s="94"/>
      <c r="EX55" s="94"/>
      <c r="EY55" s="94"/>
      <c r="EZ55" s="94"/>
      <c r="FA55" s="94"/>
      <c r="FB55" s="94"/>
      <c r="FC55" s="94"/>
      <c r="FD55" s="94"/>
      <c r="FE55" s="94"/>
      <c r="FF55" s="94"/>
      <c r="FG55" s="94"/>
      <c r="FH55" s="94"/>
      <c r="FI55" s="94"/>
      <c r="FJ55" s="94"/>
      <c r="FK55" s="94"/>
      <c r="FL55" s="94"/>
      <c r="FM55" s="94"/>
      <c r="FN55" s="94"/>
      <c r="FO55" s="94"/>
      <c r="FP55" s="94"/>
      <c r="FQ55" s="94"/>
      <c r="FR55" s="94"/>
      <c r="FS55" s="94"/>
      <c r="FT55" s="94"/>
      <c r="FU55" s="94"/>
    </row>
    <row r="56" spans="1:177" ht="21" customHeight="1" x14ac:dyDescent="0.2">
      <c r="B56" s="51">
        <v>1</v>
      </c>
      <c r="C56" s="77" t="s">
        <v>42</v>
      </c>
      <c r="D56" s="51">
        <v>4082</v>
      </c>
      <c r="E56" s="53" t="s">
        <v>121</v>
      </c>
      <c r="F56" s="72" t="s">
        <v>122</v>
      </c>
      <c r="G56" s="123">
        <v>44479</v>
      </c>
      <c r="H56" s="56" t="str">
        <f t="shared" ref="H56:H65" si="69" xml:space="preserve"> CONCATENATE(DATEDIF(G56,H$5,"Y")," AÑOS")</f>
        <v>3 AÑOS</v>
      </c>
      <c r="I56" s="75">
        <v>23037.286152851058</v>
      </c>
      <c r="J56" s="75"/>
      <c r="K56" s="75"/>
      <c r="L56" s="137"/>
      <c r="M56" s="60">
        <v>4.0000000000000002E-4</v>
      </c>
      <c r="N56" s="61">
        <f t="shared" ref="N56:N65" si="70">I56*0.04</f>
        <v>921.49144611404233</v>
      </c>
      <c r="O56" s="58">
        <f t="shared" ref="O56:O65" si="71">I56+N56</f>
        <v>23958.777598965102</v>
      </c>
      <c r="P56" s="61">
        <f t="shared" ref="P56:P65" si="72">O56*2</f>
        <v>47917.555197930204</v>
      </c>
      <c r="Q56" s="61">
        <f t="shared" ref="Q56:Q65" si="73">P56*0.75</f>
        <v>35938.166398447655</v>
      </c>
      <c r="R56" s="61">
        <f t="shared" ref="R56:R65" si="74">P56*0.25</f>
        <v>11979.388799482551</v>
      </c>
      <c r="S56" s="61">
        <f t="shared" ref="S56:S65" si="75">(P56/30)</f>
        <v>1597.2518399310068</v>
      </c>
      <c r="T56" s="58">
        <f t="shared" si="58"/>
        <v>1833.4853870568024</v>
      </c>
      <c r="U56" s="61">
        <f t="shared" ref="U56:U65" si="76">O56*0.75</f>
        <v>17969.083199223827</v>
      </c>
      <c r="V56" s="58">
        <f t="shared" ref="V56:V65" si="77">O56*0.25</f>
        <v>5989.6943997412754</v>
      </c>
      <c r="W56" s="62">
        <v>0</v>
      </c>
      <c r="X56" s="63">
        <f t="shared" ref="X56:X65" si="78">P56*W56</f>
        <v>0</v>
      </c>
      <c r="Y56" s="61">
        <v>6140.7709129148889</v>
      </c>
      <c r="Z56" s="61">
        <v>0</v>
      </c>
      <c r="AA56" s="61">
        <f t="shared" ref="AA56:AA65" si="79">(S56*45)/12</f>
        <v>5989.6943997412754</v>
      </c>
      <c r="AB56" s="61">
        <v>0</v>
      </c>
      <c r="AC56" s="61">
        <v>0</v>
      </c>
      <c r="AD56" s="61">
        <v>0</v>
      </c>
      <c r="AE56" s="61">
        <v>0</v>
      </c>
      <c r="AF56" s="81">
        <f t="shared" ref="AF56:AF65" si="80">P56*0.0833</f>
        <v>3991.532347987586</v>
      </c>
      <c r="AG56" s="61">
        <f t="shared" ref="AG56:AG65" si="81">(P56+AA56+AB56)*0.03</f>
        <v>1617.2174879301442</v>
      </c>
      <c r="AH56" s="64"/>
      <c r="AI56" s="64"/>
      <c r="AJ56" s="51">
        <v>1</v>
      </c>
      <c r="AK56" s="77" t="s">
        <v>42</v>
      </c>
      <c r="AL56" s="51">
        <v>4082</v>
      </c>
      <c r="AM56" s="53" t="s">
        <v>121</v>
      </c>
      <c r="AN56" s="72" t="s">
        <v>122</v>
      </c>
      <c r="AO56" s="138">
        <f t="shared" ref="AO56:AO65" si="82">Q56*12</f>
        <v>431257.99678137188</v>
      </c>
      <c r="AP56" s="65">
        <f t="shared" ref="AP56:AP65" si="83">R56*12</f>
        <v>143752.66559379062</v>
      </c>
      <c r="AQ56" s="65">
        <f t="shared" ref="AQ56:AQ65" si="84">X56*12</f>
        <v>0</v>
      </c>
      <c r="AR56" s="65">
        <f t="shared" ref="AR56:AR65" si="85">Y56*12</f>
        <v>73689.250954978663</v>
      </c>
      <c r="AS56" s="65">
        <f t="shared" ref="AS56:AS65" si="86">Z56*12</f>
        <v>0</v>
      </c>
      <c r="AT56" s="65">
        <f t="shared" ref="AT56:AT65" si="87">AA56*12</f>
        <v>71876.332796895309</v>
      </c>
      <c r="AU56" s="65">
        <f t="shared" ref="AU56:AU65" si="88">AB56*12</f>
        <v>0</v>
      </c>
      <c r="AV56" s="65">
        <f t="shared" ref="AV56:AV65" si="89">AC56*12</f>
        <v>0</v>
      </c>
      <c r="AW56" s="65">
        <f t="shared" ref="AW56:AW65" si="90">AD56*12</f>
        <v>0</v>
      </c>
      <c r="AX56" s="65">
        <f t="shared" ref="AX56:AX65" si="91">AE56*12</f>
        <v>0</v>
      </c>
      <c r="AY56" s="65">
        <f t="shared" ref="AY56:AY65" si="92">AF56*12</f>
        <v>47898.388175851032</v>
      </c>
      <c r="AZ56" s="65">
        <f t="shared" ref="AZ56:AZ65" si="93">AG56*12</f>
        <v>19406.609855161732</v>
      </c>
      <c r="BB56" s="64"/>
      <c r="BC56" s="66"/>
      <c r="BD56" s="66"/>
      <c r="BE56" s="66"/>
    </row>
    <row r="57" spans="1:177" ht="21" customHeight="1" x14ac:dyDescent="0.2">
      <c r="B57" s="67">
        <v>2</v>
      </c>
      <c r="C57" s="73" t="s">
        <v>42</v>
      </c>
      <c r="D57" s="67">
        <v>4092</v>
      </c>
      <c r="E57" s="73" t="s">
        <v>123</v>
      </c>
      <c r="F57" s="72" t="s">
        <v>122</v>
      </c>
      <c r="G57" s="123">
        <v>44479</v>
      </c>
      <c r="H57" s="56" t="str">
        <f t="shared" si="69"/>
        <v>3 AÑOS</v>
      </c>
      <c r="I57" s="57">
        <v>23037.286152851058</v>
      </c>
      <c r="J57" s="58"/>
      <c r="K57" s="58"/>
      <c r="L57" s="59"/>
      <c r="M57" s="60">
        <v>4.0000000000000002E-4</v>
      </c>
      <c r="N57" s="61">
        <f t="shared" si="70"/>
        <v>921.49144611404233</v>
      </c>
      <c r="O57" s="58">
        <f t="shared" si="71"/>
        <v>23958.777598965102</v>
      </c>
      <c r="P57" s="61">
        <f t="shared" si="72"/>
        <v>47917.555197930204</v>
      </c>
      <c r="Q57" s="61">
        <f t="shared" si="73"/>
        <v>35938.166398447655</v>
      </c>
      <c r="R57" s="61">
        <f t="shared" si="74"/>
        <v>11979.388799482551</v>
      </c>
      <c r="S57" s="61">
        <f t="shared" si="75"/>
        <v>1597.2518399310068</v>
      </c>
      <c r="T57" s="58">
        <f t="shared" si="58"/>
        <v>1833.4853870568024</v>
      </c>
      <c r="U57" s="61">
        <f t="shared" si="76"/>
        <v>17969.083199223827</v>
      </c>
      <c r="V57" s="58">
        <f t="shared" si="77"/>
        <v>5989.6943997412754</v>
      </c>
      <c r="W57" s="62">
        <v>0</v>
      </c>
      <c r="X57" s="63">
        <f t="shared" si="78"/>
        <v>0</v>
      </c>
      <c r="Y57" s="61">
        <v>6140.7709129148889</v>
      </c>
      <c r="Z57" s="61">
        <v>0</v>
      </c>
      <c r="AA57" s="61">
        <f t="shared" si="79"/>
        <v>5989.6943997412754</v>
      </c>
      <c r="AB57" s="61">
        <v>0</v>
      </c>
      <c r="AC57" s="61">
        <v>0</v>
      </c>
      <c r="AD57" s="61">
        <v>0</v>
      </c>
      <c r="AE57" s="61">
        <v>0</v>
      </c>
      <c r="AF57" s="81">
        <f t="shared" si="80"/>
        <v>3991.532347987586</v>
      </c>
      <c r="AG57" s="61">
        <f t="shared" si="81"/>
        <v>1617.2174879301442</v>
      </c>
      <c r="AH57" s="64"/>
      <c r="AI57" s="64"/>
      <c r="AJ57" s="67">
        <v>2</v>
      </c>
      <c r="AK57" s="73" t="s">
        <v>42</v>
      </c>
      <c r="AL57" s="67">
        <v>4092</v>
      </c>
      <c r="AM57" s="73" t="s">
        <v>123</v>
      </c>
      <c r="AN57" s="72" t="s">
        <v>122</v>
      </c>
      <c r="AO57" s="138">
        <f t="shared" si="82"/>
        <v>431257.99678137188</v>
      </c>
      <c r="AP57" s="65">
        <f t="shared" si="83"/>
        <v>143752.66559379062</v>
      </c>
      <c r="AQ57" s="65">
        <f t="shared" si="84"/>
        <v>0</v>
      </c>
      <c r="AR57" s="65">
        <f t="shared" si="85"/>
        <v>73689.250954978663</v>
      </c>
      <c r="AS57" s="65">
        <f t="shared" si="86"/>
        <v>0</v>
      </c>
      <c r="AT57" s="65">
        <f t="shared" si="87"/>
        <v>71876.332796895309</v>
      </c>
      <c r="AU57" s="65">
        <f t="shared" si="88"/>
        <v>0</v>
      </c>
      <c r="AV57" s="65">
        <f t="shared" si="89"/>
        <v>0</v>
      </c>
      <c r="AW57" s="65">
        <f t="shared" si="90"/>
        <v>0</v>
      </c>
      <c r="AX57" s="65">
        <f t="shared" si="91"/>
        <v>0</v>
      </c>
      <c r="AY57" s="65">
        <f t="shared" si="92"/>
        <v>47898.388175851032</v>
      </c>
      <c r="AZ57" s="65">
        <f t="shared" si="93"/>
        <v>19406.609855161732</v>
      </c>
      <c r="BB57" s="64"/>
      <c r="BC57" s="66"/>
      <c r="BD57" s="66"/>
      <c r="BE57" s="66"/>
    </row>
    <row r="58" spans="1:177" ht="21" customHeight="1" x14ac:dyDescent="0.2">
      <c r="B58" s="67">
        <v>3</v>
      </c>
      <c r="C58" s="73" t="s">
        <v>42</v>
      </c>
      <c r="D58" s="67">
        <v>9109</v>
      </c>
      <c r="E58" s="50" t="s">
        <v>124</v>
      </c>
      <c r="F58" s="72" t="s">
        <v>122</v>
      </c>
      <c r="G58" s="110">
        <v>44479</v>
      </c>
      <c r="H58" s="56" t="str">
        <f t="shared" si="69"/>
        <v>3 AÑOS</v>
      </c>
      <c r="I58" s="57">
        <v>23037.286152851058</v>
      </c>
      <c r="J58" s="58"/>
      <c r="K58" s="58"/>
      <c r="L58" s="59"/>
      <c r="M58" s="60">
        <v>4.0000000000000002E-4</v>
      </c>
      <c r="N58" s="61">
        <f t="shared" si="70"/>
        <v>921.49144611404233</v>
      </c>
      <c r="O58" s="58">
        <f t="shared" si="71"/>
        <v>23958.777598965102</v>
      </c>
      <c r="P58" s="61">
        <f t="shared" si="72"/>
        <v>47917.555197930204</v>
      </c>
      <c r="Q58" s="61">
        <f t="shared" si="73"/>
        <v>35938.166398447655</v>
      </c>
      <c r="R58" s="61">
        <f t="shared" si="74"/>
        <v>11979.388799482551</v>
      </c>
      <c r="S58" s="61">
        <f t="shared" si="75"/>
        <v>1597.2518399310068</v>
      </c>
      <c r="T58" s="58">
        <f t="shared" si="58"/>
        <v>1833.4853870568024</v>
      </c>
      <c r="U58" s="61">
        <f t="shared" si="76"/>
        <v>17969.083199223827</v>
      </c>
      <c r="V58" s="58">
        <f t="shared" si="77"/>
        <v>5989.6943997412754</v>
      </c>
      <c r="W58" s="62">
        <v>0</v>
      </c>
      <c r="X58" s="63">
        <f t="shared" si="78"/>
        <v>0</v>
      </c>
      <c r="Y58" s="61">
        <v>6140.7709129148889</v>
      </c>
      <c r="Z58" s="61">
        <v>0</v>
      </c>
      <c r="AA58" s="61">
        <f t="shared" si="79"/>
        <v>5989.6943997412754</v>
      </c>
      <c r="AB58" s="61">
        <v>0</v>
      </c>
      <c r="AC58" s="61">
        <v>0</v>
      </c>
      <c r="AD58" s="61">
        <v>0</v>
      </c>
      <c r="AE58" s="61">
        <v>0</v>
      </c>
      <c r="AF58" s="81">
        <f t="shared" si="80"/>
        <v>3991.532347987586</v>
      </c>
      <c r="AG58" s="61">
        <f t="shared" si="81"/>
        <v>1617.2174879301442</v>
      </c>
      <c r="AH58" s="64"/>
      <c r="AI58" s="64"/>
      <c r="AJ58" s="67">
        <v>3</v>
      </c>
      <c r="AK58" s="73" t="s">
        <v>42</v>
      </c>
      <c r="AL58" s="67">
        <v>9109</v>
      </c>
      <c r="AM58" s="50" t="s">
        <v>124</v>
      </c>
      <c r="AN58" s="72" t="s">
        <v>122</v>
      </c>
      <c r="AO58" s="138">
        <f t="shared" si="82"/>
        <v>431257.99678137188</v>
      </c>
      <c r="AP58" s="65">
        <f t="shared" si="83"/>
        <v>143752.66559379062</v>
      </c>
      <c r="AQ58" s="65">
        <f t="shared" si="84"/>
        <v>0</v>
      </c>
      <c r="AR58" s="65">
        <f t="shared" si="85"/>
        <v>73689.250954978663</v>
      </c>
      <c r="AS58" s="65">
        <f t="shared" si="86"/>
        <v>0</v>
      </c>
      <c r="AT58" s="65">
        <f t="shared" si="87"/>
        <v>71876.332796895309</v>
      </c>
      <c r="AU58" s="65">
        <f t="shared" si="88"/>
        <v>0</v>
      </c>
      <c r="AV58" s="65">
        <f t="shared" si="89"/>
        <v>0</v>
      </c>
      <c r="AW58" s="65">
        <f t="shared" si="90"/>
        <v>0</v>
      </c>
      <c r="AX58" s="65">
        <f t="shared" si="91"/>
        <v>0</v>
      </c>
      <c r="AY58" s="65">
        <f t="shared" si="92"/>
        <v>47898.388175851032</v>
      </c>
      <c r="AZ58" s="65">
        <f t="shared" si="93"/>
        <v>19406.609855161732</v>
      </c>
      <c r="BB58" s="64"/>
      <c r="BC58" s="66"/>
      <c r="BD58" s="66"/>
      <c r="BE58" s="66"/>
    </row>
    <row r="59" spans="1:177" ht="21" customHeight="1" x14ac:dyDescent="0.2">
      <c r="B59" s="51">
        <v>4</v>
      </c>
      <c r="C59" s="73" t="s">
        <v>42</v>
      </c>
      <c r="D59" s="67">
        <v>4091</v>
      </c>
      <c r="E59" s="73" t="s">
        <v>125</v>
      </c>
      <c r="F59" s="72" t="s">
        <v>122</v>
      </c>
      <c r="G59" s="123">
        <v>44479</v>
      </c>
      <c r="H59" s="56" t="str">
        <f t="shared" si="69"/>
        <v>3 AÑOS</v>
      </c>
      <c r="I59" s="57">
        <v>23037.286152851058</v>
      </c>
      <c r="J59" s="58"/>
      <c r="K59" s="58"/>
      <c r="L59" s="59"/>
      <c r="M59" s="60">
        <v>4.0000000000000002E-4</v>
      </c>
      <c r="N59" s="61">
        <f t="shared" si="70"/>
        <v>921.49144611404233</v>
      </c>
      <c r="O59" s="58">
        <f t="shared" si="71"/>
        <v>23958.777598965102</v>
      </c>
      <c r="P59" s="61">
        <f t="shared" si="72"/>
        <v>47917.555197930204</v>
      </c>
      <c r="Q59" s="61">
        <f t="shared" si="73"/>
        <v>35938.166398447655</v>
      </c>
      <c r="R59" s="61">
        <f t="shared" si="74"/>
        <v>11979.388799482551</v>
      </c>
      <c r="S59" s="61">
        <f t="shared" si="75"/>
        <v>1597.2518399310068</v>
      </c>
      <c r="T59" s="58">
        <f t="shared" si="58"/>
        <v>1833.4853870568024</v>
      </c>
      <c r="U59" s="61">
        <f t="shared" si="76"/>
        <v>17969.083199223827</v>
      </c>
      <c r="V59" s="58">
        <f t="shared" si="77"/>
        <v>5989.6943997412754</v>
      </c>
      <c r="W59" s="62">
        <v>0</v>
      </c>
      <c r="X59" s="63">
        <f t="shared" si="78"/>
        <v>0</v>
      </c>
      <c r="Y59" s="61">
        <v>6140.7709129148889</v>
      </c>
      <c r="Z59" s="61">
        <v>0</v>
      </c>
      <c r="AA59" s="61">
        <f t="shared" si="79"/>
        <v>5989.6943997412754</v>
      </c>
      <c r="AB59" s="61">
        <v>0</v>
      </c>
      <c r="AC59" s="61">
        <v>0</v>
      </c>
      <c r="AD59" s="61">
        <v>0</v>
      </c>
      <c r="AE59" s="61">
        <v>0</v>
      </c>
      <c r="AF59" s="81">
        <f t="shared" si="80"/>
        <v>3991.532347987586</v>
      </c>
      <c r="AG59" s="61">
        <f t="shared" si="81"/>
        <v>1617.2174879301442</v>
      </c>
      <c r="AH59" s="64"/>
      <c r="AI59" s="64"/>
      <c r="AJ59" s="51">
        <v>4</v>
      </c>
      <c r="AK59" s="73" t="s">
        <v>42</v>
      </c>
      <c r="AL59" s="67">
        <v>4091</v>
      </c>
      <c r="AM59" s="73" t="s">
        <v>125</v>
      </c>
      <c r="AN59" s="72" t="s">
        <v>122</v>
      </c>
      <c r="AO59" s="138">
        <f t="shared" si="82"/>
        <v>431257.99678137188</v>
      </c>
      <c r="AP59" s="65">
        <f t="shared" si="83"/>
        <v>143752.66559379062</v>
      </c>
      <c r="AQ59" s="65">
        <f t="shared" si="84"/>
        <v>0</v>
      </c>
      <c r="AR59" s="65">
        <f t="shared" si="85"/>
        <v>73689.250954978663</v>
      </c>
      <c r="AS59" s="65">
        <f t="shared" si="86"/>
        <v>0</v>
      </c>
      <c r="AT59" s="65">
        <f t="shared" si="87"/>
        <v>71876.332796895309</v>
      </c>
      <c r="AU59" s="65">
        <f t="shared" si="88"/>
        <v>0</v>
      </c>
      <c r="AV59" s="65">
        <f t="shared" si="89"/>
        <v>0</v>
      </c>
      <c r="AW59" s="65">
        <f t="shared" si="90"/>
        <v>0</v>
      </c>
      <c r="AX59" s="65">
        <f t="shared" si="91"/>
        <v>0</v>
      </c>
      <c r="AY59" s="65">
        <f t="shared" si="92"/>
        <v>47898.388175851032</v>
      </c>
      <c r="AZ59" s="65">
        <f t="shared" si="93"/>
        <v>19406.609855161732</v>
      </c>
      <c r="BB59" s="64"/>
      <c r="BC59" s="66"/>
      <c r="BD59" s="66"/>
      <c r="BE59" s="66"/>
    </row>
    <row r="60" spans="1:177" ht="21" customHeight="1" x14ac:dyDescent="0.2">
      <c r="B60" s="67">
        <v>5</v>
      </c>
      <c r="C60" s="73" t="s">
        <v>42</v>
      </c>
      <c r="D60" s="67">
        <v>4094</v>
      </c>
      <c r="E60" s="73" t="s">
        <v>126</v>
      </c>
      <c r="F60" s="72" t="s">
        <v>122</v>
      </c>
      <c r="G60" s="123">
        <v>44479</v>
      </c>
      <c r="H60" s="56" t="str">
        <f t="shared" si="69"/>
        <v>3 AÑOS</v>
      </c>
      <c r="I60" s="57">
        <v>23037.286152851058</v>
      </c>
      <c r="J60" s="58"/>
      <c r="K60" s="58"/>
      <c r="L60" s="59"/>
      <c r="M60" s="60">
        <v>4.0000000000000002E-4</v>
      </c>
      <c r="N60" s="61">
        <f t="shared" si="70"/>
        <v>921.49144611404233</v>
      </c>
      <c r="O60" s="58">
        <f t="shared" si="71"/>
        <v>23958.777598965102</v>
      </c>
      <c r="P60" s="61">
        <f t="shared" si="72"/>
        <v>47917.555197930204</v>
      </c>
      <c r="Q60" s="61">
        <f t="shared" si="73"/>
        <v>35938.166398447655</v>
      </c>
      <c r="R60" s="61">
        <f t="shared" si="74"/>
        <v>11979.388799482551</v>
      </c>
      <c r="S60" s="61">
        <f t="shared" si="75"/>
        <v>1597.2518399310068</v>
      </c>
      <c r="T60" s="58">
        <f t="shared" si="58"/>
        <v>1833.4853870568024</v>
      </c>
      <c r="U60" s="61">
        <f t="shared" si="76"/>
        <v>17969.083199223827</v>
      </c>
      <c r="V60" s="58">
        <f t="shared" si="77"/>
        <v>5989.6943997412754</v>
      </c>
      <c r="W60" s="62">
        <v>0</v>
      </c>
      <c r="X60" s="63">
        <f t="shared" si="78"/>
        <v>0</v>
      </c>
      <c r="Y60" s="61">
        <v>6140.7709129148889</v>
      </c>
      <c r="Z60" s="61">
        <v>0</v>
      </c>
      <c r="AA60" s="61">
        <f t="shared" si="79"/>
        <v>5989.6943997412754</v>
      </c>
      <c r="AB60" s="61">
        <v>0</v>
      </c>
      <c r="AC60" s="61">
        <v>0</v>
      </c>
      <c r="AD60" s="61">
        <v>0</v>
      </c>
      <c r="AE60" s="61">
        <v>0</v>
      </c>
      <c r="AF60" s="81">
        <f t="shared" si="80"/>
        <v>3991.532347987586</v>
      </c>
      <c r="AG60" s="61">
        <f t="shared" si="81"/>
        <v>1617.2174879301442</v>
      </c>
      <c r="AH60" s="64"/>
      <c r="AI60" s="64"/>
      <c r="AJ60" s="67">
        <v>5</v>
      </c>
      <c r="AK60" s="73" t="s">
        <v>42</v>
      </c>
      <c r="AL60" s="67">
        <v>4094</v>
      </c>
      <c r="AM60" s="73" t="s">
        <v>126</v>
      </c>
      <c r="AN60" s="72" t="s">
        <v>122</v>
      </c>
      <c r="AO60" s="138">
        <f t="shared" si="82"/>
        <v>431257.99678137188</v>
      </c>
      <c r="AP60" s="65">
        <f t="shared" si="83"/>
        <v>143752.66559379062</v>
      </c>
      <c r="AQ60" s="65">
        <f t="shared" si="84"/>
        <v>0</v>
      </c>
      <c r="AR60" s="65">
        <f t="shared" si="85"/>
        <v>73689.250954978663</v>
      </c>
      <c r="AS60" s="65">
        <f t="shared" si="86"/>
        <v>0</v>
      </c>
      <c r="AT60" s="65">
        <f t="shared" si="87"/>
        <v>71876.332796895309</v>
      </c>
      <c r="AU60" s="65">
        <f t="shared" si="88"/>
        <v>0</v>
      </c>
      <c r="AV60" s="65">
        <f t="shared" si="89"/>
        <v>0</v>
      </c>
      <c r="AW60" s="65">
        <f t="shared" si="90"/>
        <v>0</v>
      </c>
      <c r="AX60" s="65">
        <f t="shared" si="91"/>
        <v>0</v>
      </c>
      <c r="AY60" s="65">
        <f t="shared" si="92"/>
        <v>47898.388175851032</v>
      </c>
      <c r="AZ60" s="65">
        <f t="shared" si="93"/>
        <v>19406.609855161732</v>
      </c>
      <c r="BB60" s="64"/>
      <c r="BC60" s="66"/>
      <c r="BD60" s="66"/>
      <c r="BE60" s="66"/>
    </row>
    <row r="61" spans="1:177" ht="21" customHeight="1" x14ac:dyDescent="0.2">
      <c r="B61" s="67">
        <v>6</v>
      </c>
      <c r="C61" s="73" t="s">
        <v>42</v>
      </c>
      <c r="D61" s="67">
        <v>4099</v>
      </c>
      <c r="E61" s="73" t="s">
        <v>127</v>
      </c>
      <c r="F61" s="72" t="s">
        <v>122</v>
      </c>
      <c r="G61" s="123">
        <v>44854</v>
      </c>
      <c r="H61" s="56" t="str">
        <f t="shared" si="69"/>
        <v>2 AÑOS</v>
      </c>
      <c r="I61" s="57">
        <v>23037.286152851058</v>
      </c>
      <c r="J61" s="58"/>
      <c r="K61" s="58"/>
      <c r="L61" s="59"/>
      <c r="M61" s="60">
        <v>4.0000000000000002E-4</v>
      </c>
      <c r="N61" s="61">
        <f t="shared" si="70"/>
        <v>921.49144611404233</v>
      </c>
      <c r="O61" s="58">
        <f t="shared" si="71"/>
        <v>23958.777598965102</v>
      </c>
      <c r="P61" s="61">
        <f t="shared" si="72"/>
        <v>47917.555197930204</v>
      </c>
      <c r="Q61" s="61">
        <f t="shared" si="73"/>
        <v>35938.166398447655</v>
      </c>
      <c r="R61" s="61">
        <f t="shared" si="74"/>
        <v>11979.388799482551</v>
      </c>
      <c r="S61" s="61">
        <f t="shared" si="75"/>
        <v>1597.2518399310068</v>
      </c>
      <c r="T61" s="58">
        <f t="shared" si="58"/>
        <v>1833.4853870568024</v>
      </c>
      <c r="U61" s="61">
        <f t="shared" si="76"/>
        <v>17969.083199223827</v>
      </c>
      <c r="V61" s="58">
        <f t="shared" si="77"/>
        <v>5989.6943997412754</v>
      </c>
      <c r="W61" s="62">
        <v>0</v>
      </c>
      <c r="X61" s="63">
        <f t="shared" si="78"/>
        <v>0</v>
      </c>
      <c r="Y61" s="61">
        <v>6140.7709129148889</v>
      </c>
      <c r="Z61" s="61">
        <v>0</v>
      </c>
      <c r="AA61" s="61">
        <f t="shared" si="79"/>
        <v>5989.6943997412754</v>
      </c>
      <c r="AB61" s="61">
        <v>0</v>
      </c>
      <c r="AC61" s="61">
        <v>0</v>
      </c>
      <c r="AD61" s="61">
        <v>0</v>
      </c>
      <c r="AE61" s="61">
        <v>0</v>
      </c>
      <c r="AF61" s="81">
        <f t="shared" si="80"/>
        <v>3991.532347987586</v>
      </c>
      <c r="AG61" s="61">
        <f t="shared" si="81"/>
        <v>1617.2174879301442</v>
      </c>
      <c r="AH61" s="64"/>
      <c r="AI61" s="64"/>
      <c r="AJ61" s="67">
        <v>6</v>
      </c>
      <c r="AK61" s="73" t="s">
        <v>42</v>
      </c>
      <c r="AL61" s="67">
        <v>4099</v>
      </c>
      <c r="AM61" s="73" t="s">
        <v>127</v>
      </c>
      <c r="AN61" s="72" t="s">
        <v>122</v>
      </c>
      <c r="AO61" s="138">
        <f t="shared" si="82"/>
        <v>431257.99678137188</v>
      </c>
      <c r="AP61" s="65">
        <f t="shared" si="83"/>
        <v>143752.66559379062</v>
      </c>
      <c r="AQ61" s="65">
        <f t="shared" si="84"/>
        <v>0</v>
      </c>
      <c r="AR61" s="65">
        <f t="shared" si="85"/>
        <v>73689.250954978663</v>
      </c>
      <c r="AS61" s="65">
        <f t="shared" si="86"/>
        <v>0</v>
      </c>
      <c r="AT61" s="65">
        <f t="shared" si="87"/>
        <v>71876.332796895309</v>
      </c>
      <c r="AU61" s="65">
        <f t="shared" si="88"/>
        <v>0</v>
      </c>
      <c r="AV61" s="65">
        <f t="shared" si="89"/>
        <v>0</v>
      </c>
      <c r="AW61" s="65">
        <f t="shared" si="90"/>
        <v>0</v>
      </c>
      <c r="AX61" s="65">
        <f t="shared" si="91"/>
        <v>0</v>
      </c>
      <c r="AY61" s="65">
        <f t="shared" si="92"/>
        <v>47898.388175851032</v>
      </c>
      <c r="AZ61" s="65">
        <f t="shared" si="93"/>
        <v>19406.609855161732</v>
      </c>
      <c r="BB61" s="64"/>
      <c r="BC61" s="66"/>
      <c r="BD61" s="66"/>
      <c r="BE61" s="66"/>
    </row>
    <row r="62" spans="1:177" ht="21" customHeight="1" x14ac:dyDescent="0.2">
      <c r="B62" s="51">
        <v>7</v>
      </c>
      <c r="C62" s="73" t="s">
        <v>42</v>
      </c>
      <c r="D62" s="67">
        <v>4095</v>
      </c>
      <c r="E62" s="73" t="s">
        <v>128</v>
      </c>
      <c r="F62" s="72" t="s">
        <v>122</v>
      </c>
      <c r="G62" s="123">
        <v>44479</v>
      </c>
      <c r="H62" s="56" t="str">
        <f t="shared" si="69"/>
        <v>3 AÑOS</v>
      </c>
      <c r="I62" s="57">
        <v>23037.286152851058</v>
      </c>
      <c r="J62" s="58"/>
      <c r="K62" s="58"/>
      <c r="L62" s="59"/>
      <c r="M62" s="60">
        <v>4.0000000000000002E-4</v>
      </c>
      <c r="N62" s="61">
        <f t="shared" si="70"/>
        <v>921.49144611404233</v>
      </c>
      <c r="O62" s="58">
        <f t="shared" si="71"/>
        <v>23958.777598965102</v>
      </c>
      <c r="P62" s="61">
        <f t="shared" si="72"/>
        <v>47917.555197930204</v>
      </c>
      <c r="Q62" s="61">
        <f t="shared" si="73"/>
        <v>35938.166398447655</v>
      </c>
      <c r="R62" s="61">
        <f t="shared" si="74"/>
        <v>11979.388799482551</v>
      </c>
      <c r="S62" s="61">
        <f t="shared" si="75"/>
        <v>1597.2518399310068</v>
      </c>
      <c r="T62" s="58">
        <f t="shared" si="58"/>
        <v>1833.4853870568024</v>
      </c>
      <c r="U62" s="61">
        <f t="shared" si="76"/>
        <v>17969.083199223827</v>
      </c>
      <c r="V62" s="58">
        <f t="shared" si="77"/>
        <v>5989.6943997412754</v>
      </c>
      <c r="W62" s="62">
        <v>0</v>
      </c>
      <c r="X62" s="63">
        <f t="shared" si="78"/>
        <v>0</v>
      </c>
      <c r="Y62" s="61">
        <v>6140.7709129148889</v>
      </c>
      <c r="Z62" s="61">
        <v>0</v>
      </c>
      <c r="AA62" s="61">
        <f t="shared" si="79"/>
        <v>5989.6943997412754</v>
      </c>
      <c r="AB62" s="61">
        <v>0</v>
      </c>
      <c r="AC62" s="61">
        <v>0</v>
      </c>
      <c r="AD62" s="61">
        <v>0</v>
      </c>
      <c r="AE62" s="61">
        <v>0</v>
      </c>
      <c r="AF62" s="81">
        <f t="shared" si="80"/>
        <v>3991.532347987586</v>
      </c>
      <c r="AG62" s="61">
        <f t="shared" si="81"/>
        <v>1617.2174879301442</v>
      </c>
      <c r="AH62" s="64"/>
      <c r="AI62" s="64"/>
      <c r="AJ62" s="51">
        <v>7</v>
      </c>
      <c r="AK62" s="73" t="s">
        <v>42</v>
      </c>
      <c r="AL62" s="67">
        <v>4095</v>
      </c>
      <c r="AM62" s="73" t="s">
        <v>128</v>
      </c>
      <c r="AN62" s="72" t="s">
        <v>122</v>
      </c>
      <c r="AO62" s="138">
        <f t="shared" si="82"/>
        <v>431257.99678137188</v>
      </c>
      <c r="AP62" s="65">
        <f t="shared" si="83"/>
        <v>143752.66559379062</v>
      </c>
      <c r="AQ62" s="65">
        <f t="shared" si="84"/>
        <v>0</v>
      </c>
      <c r="AR62" s="65">
        <f t="shared" si="85"/>
        <v>73689.250954978663</v>
      </c>
      <c r="AS62" s="65">
        <f t="shared" si="86"/>
        <v>0</v>
      </c>
      <c r="AT62" s="65">
        <f t="shared" si="87"/>
        <v>71876.332796895309</v>
      </c>
      <c r="AU62" s="65">
        <f t="shared" si="88"/>
        <v>0</v>
      </c>
      <c r="AV62" s="65">
        <f t="shared" si="89"/>
        <v>0</v>
      </c>
      <c r="AW62" s="65">
        <f t="shared" si="90"/>
        <v>0</v>
      </c>
      <c r="AX62" s="65">
        <f t="shared" si="91"/>
        <v>0</v>
      </c>
      <c r="AY62" s="65">
        <f t="shared" si="92"/>
        <v>47898.388175851032</v>
      </c>
      <c r="AZ62" s="65">
        <f t="shared" si="93"/>
        <v>19406.609855161732</v>
      </c>
      <c r="BB62" s="64"/>
      <c r="BC62" s="66"/>
      <c r="BD62" s="66"/>
      <c r="BE62" s="66"/>
    </row>
    <row r="63" spans="1:177" ht="21" customHeight="1" x14ac:dyDescent="0.2">
      <c r="B63" s="67">
        <v>8</v>
      </c>
      <c r="C63" s="73" t="s">
        <v>42</v>
      </c>
      <c r="D63" s="67">
        <v>12085</v>
      </c>
      <c r="E63" s="73" t="s">
        <v>129</v>
      </c>
      <c r="F63" s="72" t="s">
        <v>122</v>
      </c>
      <c r="G63" s="123">
        <v>44479</v>
      </c>
      <c r="H63" s="56" t="str">
        <f t="shared" si="69"/>
        <v>3 AÑOS</v>
      </c>
      <c r="I63" s="57">
        <v>23037.286152851058</v>
      </c>
      <c r="J63" s="58"/>
      <c r="K63" s="58"/>
      <c r="L63" s="59"/>
      <c r="M63" s="60">
        <v>4.0000000000000002E-4</v>
      </c>
      <c r="N63" s="61">
        <f t="shared" si="70"/>
        <v>921.49144611404233</v>
      </c>
      <c r="O63" s="58">
        <f t="shared" si="71"/>
        <v>23958.777598965102</v>
      </c>
      <c r="P63" s="61">
        <f t="shared" si="72"/>
        <v>47917.555197930204</v>
      </c>
      <c r="Q63" s="61">
        <f t="shared" si="73"/>
        <v>35938.166398447655</v>
      </c>
      <c r="R63" s="61">
        <f t="shared" si="74"/>
        <v>11979.388799482551</v>
      </c>
      <c r="S63" s="61">
        <f t="shared" si="75"/>
        <v>1597.2518399310068</v>
      </c>
      <c r="T63" s="58">
        <f t="shared" si="58"/>
        <v>1833.4853870568024</v>
      </c>
      <c r="U63" s="61">
        <f t="shared" si="76"/>
        <v>17969.083199223827</v>
      </c>
      <c r="V63" s="58">
        <f t="shared" si="77"/>
        <v>5989.6943997412754</v>
      </c>
      <c r="W63" s="62">
        <v>0</v>
      </c>
      <c r="X63" s="63">
        <f t="shared" si="78"/>
        <v>0</v>
      </c>
      <c r="Y63" s="61">
        <v>6140.7709129148889</v>
      </c>
      <c r="Z63" s="61">
        <v>0</v>
      </c>
      <c r="AA63" s="61">
        <f t="shared" si="79"/>
        <v>5989.6943997412754</v>
      </c>
      <c r="AB63" s="61">
        <v>0</v>
      </c>
      <c r="AC63" s="61">
        <v>0</v>
      </c>
      <c r="AD63" s="61">
        <v>0</v>
      </c>
      <c r="AE63" s="61">
        <v>0</v>
      </c>
      <c r="AF63" s="81">
        <f t="shared" si="80"/>
        <v>3991.532347987586</v>
      </c>
      <c r="AG63" s="61">
        <f t="shared" si="81"/>
        <v>1617.2174879301442</v>
      </c>
      <c r="AH63" s="64"/>
      <c r="AI63" s="64"/>
      <c r="AJ63" s="67">
        <v>8</v>
      </c>
      <c r="AK63" s="73" t="s">
        <v>42</v>
      </c>
      <c r="AL63" s="67">
        <v>12085</v>
      </c>
      <c r="AM63" s="73" t="s">
        <v>129</v>
      </c>
      <c r="AN63" s="72" t="s">
        <v>122</v>
      </c>
      <c r="AO63" s="138">
        <f t="shared" si="82"/>
        <v>431257.99678137188</v>
      </c>
      <c r="AP63" s="65">
        <f t="shared" si="83"/>
        <v>143752.66559379062</v>
      </c>
      <c r="AQ63" s="65">
        <f t="shared" si="84"/>
        <v>0</v>
      </c>
      <c r="AR63" s="65">
        <f t="shared" si="85"/>
        <v>73689.250954978663</v>
      </c>
      <c r="AS63" s="65">
        <f t="shared" si="86"/>
        <v>0</v>
      </c>
      <c r="AT63" s="65">
        <f t="shared" si="87"/>
        <v>71876.332796895309</v>
      </c>
      <c r="AU63" s="65">
        <f t="shared" si="88"/>
        <v>0</v>
      </c>
      <c r="AV63" s="65">
        <f t="shared" si="89"/>
        <v>0</v>
      </c>
      <c r="AW63" s="65">
        <f t="shared" si="90"/>
        <v>0</v>
      </c>
      <c r="AX63" s="65">
        <f t="shared" si="91"/>
        <v>0</v>
      </c>
      <c r="AY63" s="65">
        <f t="shared" si="92"/>
        <v>47898.388175851032</v>
      </c>
      <c r="AZ63" s="65">
        <f t="shared" si="93"/>
        <v>19406.609855161732</v>
      </c>
      <c r="BB63" s="64"/>
      <c r="BC63" s="66"/>
      <c r="BD63" s="66"/>
      <c r="BE63" s="66"/>
    </row>
    <row r="64" spans="1:177" ht="21" customHeight="1" x14ac:dyDescent="0.2">
      <c r="B64" s="67">
        <v>9</v>
      </c>
      <c r="C64" s="73" t="s">
        <v>42</v>
      </c>
      <c r="D64" s="67">
        <v>4096</v>
      </c>
      <c r="E64" s="73" t="s">
        <v>130</v>
      </c>
      <c r="F64" s="72" t="s">
        <v>122</v>
      </c>
      <c r="G64" s="123">
        <v>44479</v>
      </c>
      <c r="H64" s="56" t="str">
        <f t="shared" si="69"/>
        <v>3 AÑOS</v>
      </c>
      <c r="I64" s="57">
        <v>23037.286152851058</v>
      </c>
      <c r="J64" s="58"/>
      <c r="K64" s="58"/>
      <c r="L64" s="59"/>
      <c r="M64" s="60">
        <v>4.0000000000000002E-4</v>
      </c>
      <c r="N64" s="61">
        <f t="shared" si="70"/>
        <v>921.49144611404233</v>
      </c>
      <c r="O64" s="58">
        <f t="shared" si="71"/>
        <v>23958.777598965102</v>
      </c>
      <c r="P64" s="61">
        <f t="shared" si="72"/>
        <v>47917.555197930204</v>
      </c>
      <c r="Q64" s="61">
        <f t="shared" si="73"/>
        <v>35938.166398447655</v>
      </c>
      <c r="R64" s="61">
        <f t="shared" si="74"/>
        <v>11979.388799482551</v>
      </c>
      <c r="S64" s="61">
        <f t="shared" si="75"/>
        <v>1597.2518399310068</v>
      </c>
      <c r="T64" s="58">
        <f t="shared" si="58"/>
        <v>1833.4853870568024</v>
      </c>
      <c r="U64" s="61">
        <f t="shared" si="76"/>
        <v>17969.083199223827</v>
      </c>
      <c r="V64" s="58">
        <f t="shared" si="77"/>
        <v>5989.6943997412754</v>
      </c>
      <c r="W64" s="62">
        <v>0</v>
      </c>
      <c r="X64" s="63">
        <f t="shared" si="78"/>
        <v>0</v>
      </c>
      <c r="Y64" s="61">
        <v>6140.7709129148889</v>
      </c>
      <c r="Z64" s="61">
        <v>0</v>
      </c>
      <c r="AA64" s="61">
        <f t="shared" si="79"/>
        <v>5989.6943997412754</v>
      </c>
      <c r="AB64" s="61">
        <v>0</v>
      </c>
      <c r="AC64" s="61">
        <v>0</v>
      </c>
      <c r="AD64" s="61">
        <v>0</v>
      </c>
      <c r="AE64" s="61">
        <v>0</v>
      </c>
      <c r="AF64" s="81">
        <f t="shared" si="80"/>
        <v>3991.532347987586</v>
      </c>
      <c r="AG64" s="61">
        <f t="shared" si="81"/>
        <v>1617.2174879301442</v>
      </c>
      <c r="AH64" s="64"/>
      <c r="AI64" s="64"/>
      <c r="AJ64" s="67">
        <v>9</v>
      </c>
      <c r="AK64" s="73" t="s">
        <v>42</v>
      </c>
      <c r="AL64" s="67">
        <v>4096</v>
      </c>
      <c r="AM64" s="73" t="s">
        <v>130</v>
      </c>
      <c r="AN64" s="72" t="s">
        <v>122</v>
      </c>
      <c r="AO64" s="138">
        <f t="shared" si="82"/>
        <v>431257.99678137188</v>
      </c>
      <c r="AP64" s="65">
        <f t="shared" si="83"/>
        <v>143752.66559379062</v>
      </c>
      <c r="AQ64" s="65">
        <f t="shared" si="84"/>
        <v>0</v>
      </c>
      <c r="AR64" s="65">
        <f t="shared" si="85"/>
        <v>73689.250954978663</v>
      </c>
      <c r="AS64" s="65">
        <f t="shared" si="86"/>
        <v>0</v>
      </c>
      <c r="AT64" s="65">
        <f t="shared" si="87"/>
        <v>71876.332796895309</v>
      </c>
      <c r="AU64" s="65">
        <f t="shared" si="88"/>
        <v>0</v>
      </c>
      <c r="AV64" s="65">
        <f t="shared" si="89"/>
        <v>0</v>
      </c>
      <c r="AW64" s="65">
        <f t="shared" si="90"/>
        <v>0</v>
      </c>
      <c r="AX64" s="65">
        <f t="shared" si="91"/>
        <v>0</v>
      </c>
      <c r="AY64" s="65">
        <f t="shared" si="92"/>
        <v>47898.388175851032</v>
      </c>
      <c r="AZ64" s="65">
        <f t="shared" si="93"/>
        <v>19406.609855161732</v>
      </c>
      <c r="BB64" s="64"/>
      <c r="BC64" s="66"/>
      <c r="BD64" s="66"/>
      <c r="BE64" s="66"/>
    </row>
    <row r="65" spans="1:177" ht="21" customHeight="1" x14ac:dyDescent="0.2">
      <c r="B65" s="51">
        <v>10</v>
      </c>
      <c r="C65" s="73" t="s">
        <v>42</v>
      </c>
      <c r="D65" s="67">
        <v>4097</v>
      </c>
      <c r="E65" s="73" t="s">
        <v>131</v>
      </c>
      <c r="F65" s="72" t="s">
        <v>122</v>
      </c>
      <c r="G65" s="123">
        <v>44479</v>
      </c>
      <c r="H65" s="56" t="str">
        <f t="shared" si="69"/>
        <v>3 AÑOS</v>
      </c>
      <c r="I65" s="57">
        <v>23037.286152851058</v>
      </c>
      <c r="J65" s="58"/>
      <c r="K65" s="58"/>
      <c r="L65" s="59"/>
      <c r="M65" s="60">
        <v>4.0000000000000002E-4</v>
      </c>
      <c r="N65" s="61">
        <f t="shared" si="70"/>
        <v>921.49144611404233</v>
      </c>
      <c r="O65" s="58">
        <f t="shared" si="71"/>
        <v>23958.777598965102</v>
      </c>
      <c r="P65" s="61">
        <f t="shared" si="72"/>
        <v>47917.555197930204</v>
      </c>
      <c r="Q65" s="61">
        <f t="shared" si="73"/>
        <v>35938.166398447655</v>
      </c>
      <c r="R65" s="61">
        <f t="shared" si="74"/>
        <v>11979.388799482551</v>
      </c>
      <c r="S65" s="61">
        <f t="shared" si="75"/>
        <v>1597.2518399310068</v>
      </c>
      <c r="T65" s="58">
        <f t="shared" si="58"/>
        <v>1833.4853870568024</v>
      </c>
      <c r="U65" s="61">
        <f t="shared" si="76"/>
        <v>17969.083199223827</v>
      </c>
      <c r="V65" s="58">
        <f t="shared" si="77"/>
        <v>5989.6943997412754</v>
      </c>
      <c r="W65" s="62">
        <v>0</v>
      </c>
      <c r="X65" s="63">
        <f t="shared" si="78"/>
        <v>0</v>
      </c>
      <c r="Y65" s="61">
        <v>6140.7709129148889</v>
      </c>
      <c r="Z65" s="61">
        <v>0</v>
      </c>
      <c r="AA65" s="61">
        <f t="shared" si="79"/>
        <v>5989.6943997412754</v>
      </c>
      <c r="AB65" s="61">
        <v>0</v>
      </c>
      <c r="AC65" s="61">
        <v>0</v>
      </c>
      <c r="AD65" s="61">
        <v>0</v>
      </c>
      <c r="AE65" s="61">
        <v>0</v>
      </c>
      <c r="AF65" s="81">
        <f t="shared" si="80"/>
        <v>3991.532347987586</v>
      </c>
      <c r="AG65" s="61">
        <f t="shared" si="81"/>
        <v>1617.2174879301442</v>
      </c>
      <c r="AH65" s="64"/>
      <c r="AI65" s="64"/>
      <c r="AJ65" s="51">
        <v>10</v>
      </c>
      <c r="AK65" s="73" t="s">
        <v>42</v>
      </c>
      <c r="AL65" s="67">
        <v>4097</v>
      </c>
      <c r="AM65" s="73" t="s">
        <v>131</v>
      </c>
      <c r="AN65" s="72" t="s">
        <v>122</v>
      </c>
      <c r="AO65" s="138">
        <f t="shared" si="82"/>
        <v>431257.99678137188</v>
      </c>
      <c r="AP65" s="65">
        <f t="shared" si="83"/>
        <v>143752.66559379062</v>
      </c>
      <c r="AQ65" s="65">
        <f t="shared" si="84"/>
        <v>0</v>
      </c>
      <c r="AR65" s="65">
        <f t="shared" si="85"/>
        <v>73689.250954978663</v>
      </c>
      <c r="AS65" s="65">
        <f t="shared" si="86"/>
        <v>0</v>
      </c>
      <c r="AT65" s="65">
        <f t="shared" si="87"/>
        <v>71876.332796895309</v>
      </c>
      <c r="AU65" s="65">
        <f t="shared" si="88"/>
        <v>0</v>
      </c>
      <c r="AV65" s="65">
        <f t="shared" si="89"/>
        <v>0</v>
      </c>
      <c r="AW65" s="65">
        <f t="shared" si="90"/>
        <v>0</v>
      </c>
      <c r="AX65" s="65">
        <f t="shared" si="91"/>
        <v>0</v>
      </c>
      <c r="AY65" s="65">
        <f t="shared" si="92"/>
        <v>47898.388175851032</v>
      </c>
      <c r="AZ65" s="65">
        <f t="shared" si="93"/>
        <v>19406.609855161732</v>
      </c>
      <c r="BB65" s="64"/>
      <c r="BC65" s="66"/>
      <c r="BD65" s="66"/>
      <c r="BE65" s="66"/>
    </row>
    <row r="66" spans="1:177" s="96" customFormat="1" ht="21" customHeight="1" x14ac:dyDescent="0.2">
      <c r="A66" s="50"/>
      <c r="B66" s="468" t="s">
        <v>65</v>
      </c>
      <c r="C66" s="469"/>
      <c r="D66" s="469"/>
      <c r="E66" s="469"/>
      <c r="F66" s="470"/>
      <c r="G66" s="139"/>
      <c r="H66" s="154"/>
      <c r="I66" s="91">
        <f>SUM(I56:I65)</f>
        <v>230372.86152851064</v>
      </c>
      <c r="J66" s="91">
        <f t="shared" ref="J66:AG66" si="94">SUM(J56:J65)</f>
        <v>0</v>
      </c>
      <c r="K66" s="91">
        <f t="shared" si="94"/>
        <v>0</v>
      </c>
      <c r="L66" s="140">
        <f t="shared" si="94"/>
        <v>0</v>
      </c>
      <c r="M66" s="91">
        <f t="shared" si="94"/>
        <v>4.000000000000001E-3</v>
      </c>
      <c r="N66" s="91">
        <f t="shared" si="94"/>
        <v>9214.9144611404226</v>
      </c>
      <c r="O66" s="91">
        <f t="shared" si="94"/>
        <v>239587.77598965101</v>
      </c>
      <c r="P66" s="91">
        <f t="shared" si="94"/>
        <v>479175.55197930202</v>
      </c>
      <c r="Q66" s="91">
        <f t="shared" si="94"/>
        <v>359381.66398447653</v>
      </c>
      <c r="R66" s="91">
        <f t="shared" si="94"/>
        <v>119793.88799482551</v>
      </c>
      <c r="S66" s="91">
        <f t="shared" si="94"/>
        <v>15972.518399310067</v>
      </c>
      <c r="T66" s="91">
        <f t="shared" si="94"/>
        <v>18334.853870568026</v>
      </c>
      <c r="U66" s="141">
        <f t="shared" si="94"/>
        <v>179690.83199223827</v>
      </c>
      <c r="V66" s="91">
        <f t="shared" si="94"/>
        <v>59896.943997412753</v>
      </c>
      <c r="W66" s="91">
        <f t="shared" si="94"/>
        <v>0</v>
      </c>
      <c r="X66" s="91">
        <f t="shared" si="94"/>
        <v>0</v>
      </c>
      <c r="Y66" s="91">
        <f t="shared" si="94"/>
        <v>61407.709129148876</v>
      </c>
      <c r="Z66" s="91">
        <f t="shared" si="94"/>
        <v>0</v>
      </c>
      <c r="AA66" s="91">
        <f t="shared" si="94"/>
        <v>59896.943997412753</v>
      </c>
      <c r="AB66" s="91">
        <f t="shared" si="94"/>
        <v>0</v>
      </c>
      <c r="AC66" s="91">
        <f t="shared" si="94"/>
        <v>0</v>
      </c>
      <c r="AD66" s="91">
        <f t="shared" si="94"/>
        <v>0</v>
      </c>
      <c r="AE66" s="91">
        <f t="shared" si="94"/>
        <v>0</v>
      </c>
      <c r="AF66" s="91">
        <f t="shared" si="94"/>
        <v>39915.323479875871</v>
      </c>
      <c r="AG66" s="91">
        <f t="shared" si="94"/>
        <v>16172.174879301439</v>
      </c>
      <c r="AH66" s="92"/>
      <c r="AI66" s="92"/>
      <c r="AJ66" s="468" t="s">
        <v>65</v>
      </c>
      <c r="AK66" s="469"/>
      <c r="AL66" s="469"/>
      <c r="AM66" s="469"/>
      <c r="AN66" s="470"/>
      <c r="AO66" s="144">
        <f>SUM(AO56:AO65)</f>
        <v>4312579.9678137191</v>
      </c>
      <c r="AP66" s="144">
        <f t="shared" ref="AP66:AZ66" si="95">SUM(AP56:AP65)</f>
        <v>1437526.6559379061</v>
      </c>
      <c r="AQ66" s="144">
        <f t="shared" si="95"/>
        <v>0</v>
      </c>
      <c r="AR66" s="144">
        <f t="shared" si="95"/>
        <v>736892.50954978645</v>
      </c>
      <c r="AS66" s="144">
        <f t="shared" si="95"/>
        <v>0</v>
      </c>
      <c r="AT66" s="144">
        <f t="shared" si="95"/>
        <v>718763.32796895306</v>
      </c>
      <c r="AU66" s="144">
        <f t="shared" si="95"/>
        <v>0</v>
      </c>
      <c r="AV66" s="144">
        <f t="shared" si="95"/>
        <v>0</v>
      </c>
      <c r="AW66" s="144">
        <f t="shared" si="95"/>
        <v>0</v>
      </c>
      <c r="AX66" s="144">
        <f t="shared" si="95"/>
        <v>0</v>
      </c>
      <c r="AY66" s="144">
        <f t="shared" si="95"/>
        <v>478983.88175851031</v>
      </c>
      <c r="AZ66" s="144">
        <f t="shared" si="95"/>
        <v>194066.09855161735</v>
      </c>
      <c r="BA66" s="94"/>
      <c r="BB66" s="92"/>
      <c r="BC66" s="95"/>
      <c r="BD66" s="95"/>
      <c r="BE66" s="95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  <c r="FP66" s="50"/>
      <c r="FQ66" s="50"/>
      <c r="FR66" s="50"/>
      <c r="FS66" s="50"/>
      <c r="FT66" s="50"/>
      <c r="FU66" s="50"/>
    </row>
    <row r="67" spans="1:177" ht="21" customHeight="1" x14ac:dyDescent="0.2">
      <c r="B67" s="67">
        <v>11</v>
      </c>
      <c r="C67" s="73" t="s">
        <v>66</v>
      </c>
      <c r="D67" s="67">
        <v>4084</v>
      </c>
      <c r="E67" s="73" t="s">
        <v>132</v>
      </c>
      <c r="F67" s="72" t="s">
        <v>133</v>
      </c>
      <c r="G67" s="155">
        <v>43481</v>
      </c>
      <c r="H67" s="56" t="str">
        <f t="shared" ref="H67:H72" si="96" xml:space="preserve"> CONCATENATE(DATEDIF(G67,H$5,"Y")," AÑOS")</f>
        <v>5 AÑOS</v>
      </c>
      <c r="I67" s="57">
        <v>6879.5999829189486</v>
      </c>
      <c r="J67" s="58"/>
      <c r="K67" s="58"/>
      <c r="L67" s="59"/>
      <c r="M67" s="60">
        <v>4.0000000000000002E-4</v>
      </c>
      <c r="N67" s="61">
        <f t="shared" ref="N67:N71" si="97">I67*0.04</f>
        <v>275.18399931675793</v>
      </c>
      <c r="O67" s="58">
        <f t="shared" ref="O67:O72" si="98">I67+N67</f>
        <v>7154.7839822357064</v>
      </c>
      <c r="P67" s="61">
        <f t="shared" ref="P67:P72" si="99">O67*2</f>
        <v>14309.567964471413</v>
      </c>
      <c r="Q67" s="61">
        <f t="shared" ref="Q67:Q72" si="100">P67*0.75</f>
        <v>10732.17597335356</v>
      </c>
      <c r="R67" s="61">
        <f t="shared" ref="R67:R72" si="101">P67*0.25</f>
        <v>3577.3919911178532</v>
      </c>
      <c r="S67" s="61">
        <f t="shared" ref="S67:S72" si="102">(P67/30)</f>
        <v>476.98559881571379</v>
      </c>
      <c r="T67" s="58">
        <f t="shared" si="58"/>
        <v>547.53176888055782</v>
      </c>
      <c r="U67" s="61">
        <f t="shared" ref="U67:U72" si="103">O67*0.75</f>
        <v>5366.08798667678</v>
      </c>
      <c r="V67" s="58">
        <f t="shared" ref="V67:V72" si="104">O67*0.25</f>
        <v>1788.6959955589266</v>
      </c>
      <c r="W67" s="101">
        <v>2.5000000000000001E-2</v>
      </c>
      <c r="X67" s="63">
        <f t="shared" ref="X67:X72" si="105">P67*W67</f>
        <v>357.73919911178535</v>
      </c>
      <c r="Y67" s="61">
        <v>854.70000990086726</v>
      </c>
      <c r="Z67" s="61">
        <v>0</v>
      </c>
      <c r="AA67" s="61">
        <f t="shared" ref="AA67:AA72" si="106">(S67*45)/12</f>
        <v>1788.6959955589266</v>
      </c>
      <c r="AB67" s="61">
        <f t="shared" ref="AB67:AB72" si="107">(S67*10)*(0.45*2)/12</f>
        <v>357.73919911178541</v>
      </c>
      <c r="AC67" s="61">
        <v>2302.2079261373783</v>
      </c>
      <c r="AD67" s="61">
        <v>1435.1081428243861</v>
      </c>
      <c r="AE67" s="61">
        <v>848.67424176486463</v>
      </c>
      <c r="AF67" s="61">
        <v>0</v>
      </c>
      <c r="AG67" s="61">
        <f t="shared" ref="AG67:AG72" si="108">(P67+AA67+AB67)*0.03</f>
        <v>493.68009477426375</v>
      </c>
      <c r="AH67" s="64"/>
      <c r="AI67" s="64"/>
      <c r="AJ67" s="67">
        <v>11</v>
      </c>
      <c r="AK67" s="73" t="s">
        <v>66</v>
      </c>
      <c r="AL67" s="67">
        <v>4084</v>
      </c>
      <c r="AM67" s="73" t="s">
        <v>132</v>
      </c>
      <c r="AN67" s="72" t="s">
        <v>133</v>
      </c>
      <c r="AO67" s="138">
        <f t="shared" ref="AO67:AP71" si="109">Q67*12</f>
        <v>128786.11168024273</v>
      </c>
      <c r="AP67" s="65">
        <f t="shared" si="109"/>
        <v>42928.70389341424</v>
      </c>
      <c r="AQ67" s="65">
        <f t="shared" ref="AQ67:AZ71" si="110">X67*12</f>
        <v>4292.870389341424</v>
      </c>
      <c r="AR67" s="65">
        <f t="shared" si="110"/>
        <v>10256.400118810407</v>
      </c>
      <c r="AS67" s="65">
        <f t="shared" si="110"/>
        <v>0</v>
      </c>
      <c r="AT67" s="65">
        <f t="shared" si="110"/>
        <v>21464.35194670712</v>
      </c>
      <c r="AU67" s="65">
        <f t="shared" si="110"/>
        <v>4292.8703893414249</v>
      </c>
      <c r="AV67" s="65">
        <f t="shared" si="110"/>
        <v>27626.49511364854</v>
      </c>
      <c r="AW67" s="65">
        <f t="shared" si="110"/>
        <v>17221.297713892633</v>
      </c>
      <c r="AX67" s="65">
        <f t="shared" si="110"/>
        <v>10184.090901178375</v>
      </c>
      <c r="AY67" s="65">
        <f t="shared" si="110"/>
        <v>0</v>
      </c>
      <c r="AZ67" s="65">
        <f t="shared" si="110"/>
        <v>5924.1611372911648</v>
      </c>
      <c r="BB67" s="64"/>
      <c r="BC67" s="66"/>
      <c r="BD67" s="66"/>
      <c r="BE67" s="66"/>
    </row>
    <row r="68" spans="1:177" ht="21" customHeight="1" x14ac:dyDescent="0.2">
      <c r="B68" s="67">
        <v>12</v>
      </c>
      <c r="C68" s="73" t="s">
        <v>66</v>
      </c>
      <c r="D68" s="67">
        <v>4073</v>
      </c>
      <c r="E68" s="72" t="s">
        <v>134</v>
      </c>
      <c r="F68" s="72" t="s">
        <v>135</v>
      </c>
      <c r="G68" s="123">
        <v>42381</v>
      </c>
      <c r="H68" s="56" t="str">
        <f t="shared" si="96"/>
        <v>8 AÑOS</v>
      </c>
      <c r="I68" s="57">
        <v>6473.7189041991969</v>
      </c>
      <c r="J68" s="58"/>
      <c r="K68" s="58"/>
      <c r="L68" s="59"/>
      <c r="M68" s="60">
        <v>4.0000000000000002E-4</v>
      </c>
      <c r="N68" s="61">
        <f t="shared" si="97"/>
        <v>258.94875616796787</v>
      </c>
      <c r="O68" s="58">
        <f t="shared" si="98"/>
        <v>6732.6676603671649</v>
      </c>
      <c r="P68" s="61">
        <f t="shared" si="99"/>
        <v>13465.33532073433</v>
      </c>
      <c r="Q68" s="61">
        <f t="shared" si="100"/>
        <v>10099.001490550747</v>
      </c>
      <c r="R68" s="61">
        <f t="shared" si="101"/>
        <v>3366.3338301835824</v>
      </c>
      <c r="S68" s="61">
        <f t="shared" si="102"/>
        <v>448.84451069114431</v>
      </c>
      <c r="T68" s="58">
        <f t="shared" si="58"/>
        <v>515.22861382236454</v>
      </c>
      <c r="U68" s="61">
        <f t="shared" si="103"/>
        <v>5049.5007452753734</v>
      </c>
      <c r="V68" s="58">
        <f t="shared" si="104"/>
        <v>1683.1669150917912</v>
      </c>
      <c r="W68" s="101">
        <v>2.5000000000000001E-2</v>
      </c>
      <c r="X68" s="63">
        <f t="shared" si="105"/>
        <v>336.63338301835824</v>
      </c>
      <c r="Y68" s="61">
        <v>785.81062617192117</v>
      </c>
      <c r="Z68" s="61">
        <v>0</v>
      </c>
      <c r="AA68" s="61">
        <f t="shared" si="106"/>
        <v>1683.1669150917912</v>
      </c>
      <c r="AB68" s="61">
        <f t="shared" si="107"/>
        <v>336.63338301835824</v>
      </c>
      <c r="AC68" s="61">
        <v>2198.7371959322072</v>
      </c>
      <c r="AD68" s="61">
        <v>1350.4399582591086</v>
      </c>
      <c r="AE68" s="61">
        <v>798.60435142466508</v>
      </c>
      <c r="AF68" s="61">
        <v>0</v>
      </c>
      <c r="AG68" s="61">
        <f t="shared" si="108"/>
        <v>464.55406856533432</v>
      </c>
      <c r="AH68" s="64"/>
      <c r="AI68" s="64"/>
      <c r="AJ68" s="67">
        <v>12</v>
      </c>
      <c r="AK68" s="73" t="s">
        <v>66</v>
      </c>
      <c r="AL68" s="67">
        <v>4073</v>
      </c>
      <c r="AM68" s="72" t="s">
        <v>134</v>
      </c>
      <c r="AN68" s="72" t="s">
        <v>135</v>
      </c>
      <c r="AO68" s="138">
        <f t="shared" si="109"/>
        <v>121188.01788660896</v>
      </c>
      <c r="AP68" s="65">
        <f t="shared" si="109"/>
        <v>40396.005962202988</v>
      </c>
      <c r="AQ68" s="65">
        <f t="shared" si="110"/>
        <v>4039.6005962202989</v>
      </c>
      <c r="AR68" s="65">
        <f t="shared" si="110"/>
        <v>9429.7275140630536</v>
      </c>
      <c r="AS68" s="65">
        <f t="shared" si="110"/>
        <v>0</v>
      </c>
      <c r="AT68" s="65">
        <f t="shared" si="110"/>
        <v>20198.002981101494</v>
      </c>
      <c r="AU68" s="65">
        <f t="shared" si="110"/>
        <v>4039.6005962202989</v>
      </c>
      <c r="AV68" s="65">
        <f t="shared" si="110"/>
        <v>26384.846351186487</v>
      </c>
      <c r="AW68" s="65">
        <f t="shared" si="110"/>
        <v>16205.279499109303</v>
      </c>
      <c r="AX68" s="65">
        <f t="shared" si="110"/>
        <v>9583.2522170959819</v>
      </c>
      <c r="AY68" s="65">
        <f t="shared" si="110"/>
        <v>0</v>
      </c>
      <c r="AZ68" s="65">
        <f t="shared" si="110"/>
        <v>5574.6488227840118</v>
      </c>
      <c r="BB68" s="64"/>
      <c r="BC68" s="66"/>
      <c r="BD68" s="66"/>
      <c r="BE68" s="66"/>
    </row>
    <row r="69" spans="1:177" ht="21" customHeight="1" x14ac:dyDescent="0.2">
      <c r="B69" s="67">
        <v>13</v>
      </c>
      <c r="C69" s="73" t="s">
        <v>66</v>
      </c>
      <c r="D69" s="67">
        <v>4086</v>
      </c>
      <c r="E69" s="73" t="s">
        <v>136</v>
      </c>
      <c r="F69" s="72" t="s">
        <v>137</v>
      </c>
      <c r="G69" s="156">
        <v>44197</v>
      </c>
      <c r="H69" s="56" t="str">
        <f t="shared" si="96"/>
        <v>3 AÑOS</v>
      </c>
      <c r="I69" s="57">
        <v>5260.9611599999998</v>
      </c>
      <c r="J69" s="58"/>
      <c r="K69" s="58"/>
      <c r="L69" s="59"/>
      <c r="M69" s="60">
        <v>4.0000000000000002E-4</v>
      </c>
      <c r="N69" s="61">
        <f t="shared" si="97"/>
        <v>210.4384464</v>
      </c>
      <c r="O69" s="58">
        <f t="shared" si="98"/>
        <v>5471.3996064000003</v>
      </c>
      <c r="P69" s="61">
        <f t="shared" si="99"/>
        <v>10942.799212800001</v>
      </c>
      <c r="Q69" s="61">
        <f t="shared" si="100"/>
        <v>8207.0994095999995</v>
      </c>
      <c r="R69" s="61">
        <f t="shared" si="101"/>
        <v>2735.6998032000001</v>
      </c>
      <c r="S69" s="61">
        <f t="shared" si="102"/>
        <v>364.75997376000004</v>
      </c>
      <c r="T69" s="58">
        <f t="shared" si="58"/>
        <v>418.70797387910403</v>
      </c>
      <c r="U69" s="61">
        <f t="shared" si="103"/>
        <v>4103.5497047999997</v>
      </c>
      <c r="V69" s="58">
        <f t="shared" si="104"/>
        <v>1367.8499016000001</v>
      </c>
      <c r="W69" s="101">
        <v>0</v>
      </c>
      <c r="X69" s="63">
        <f t="shared" si="105"/>
        <v>0</v>
      </c>
      <c r="Y69" s="61">
        <v>579.97167976447986</v>
      </c>
      <c r="Z69" s="61">
        <v>0</v>
      </c>
      <c r="AA69" s="61">
        <f t="shared" si="106"/>
        <v>1367.8499016000003</v>
      </c>
      <c r="AB69" s="61">
        <f t="shared" si="107"/>
        <v>273.56998032000007</v>
      </c>
      <c r="AC69" s="61">
        <v>1889.5704573641585</v>
      </c>
      <c r="AD69" s="61">
        <v>1097.4545349358257</v>
      </c>
      <c r="AE69" s="61">
        <v>648.9973595126113</v>
      </c>
      <c r="AF69" s="61">
        <v>0</v>
      </c>
      <c r="AG69" s="61">
        <f t="shared" si="108"/>
        <v>377.52657284160006</v>
      </c>
      <c r="AH69" s="64"/>
      <c r="AI69" s="64"/>
      <c r="AJ69" s="67">
        <v>13</v>
      </c>
      <c r="AK69" s="73" t="s">
        <v>66</v>
      </c>
      <c r="AL69" s="67">
        <v>4086</v>
      </c>
      <c r="AM69" s="73" t="s">
        <v>136</v>
      </c>
      <c r="AN69" s="72" t="s">
        <v>137</v>
      </c>
      <c r="AO69" s="138">
        <f t="shared" si="109"/>
        <v>98485.192915199994</v>
      </c>
      <c r="AP69" s="65">
        <f t="shared" si="109"/>
        <v>32828.397638399998</v>
      </c>
      <c r="AQ69" s="65">
        <f t="shared" si="110"/>
        <v>0</v>
      </c>
      <c r="AR69" s="65">
        <f t="shared" si="110"/>
        <v>6959.6601571737583</v>
      </c>
      <c r="AS69" s="65">
        <f t="shared" si="110"/>
        <v>0</v>
      </c>
      <c r="AT69" s="65">
        <f t="shared" si="110"/>
        <v>16414.198819200003</v>
      </c>
      <c r="AU69" s="65">
        <f t="shared" si="110"/>
        <v>3282.8397638400011</v>
      </c>
      <c r="AV69" s="65">
        <f t="shared" si="110"/>
        <v>22674.845488369901</v>
      </c>
      <c r="AW69" s="65">
        <f t="shared" si="110"/>
        <v>13169.454419229907</v>
      </c>
      <c r="AX69" s="65">
        <f t="shared" si="110"/>
        <v>7787.968314151336</v>
      </c>
      <c r="AY69" s="65">
        <f t="shared" si="110"/>
        <v>0</v>
      </c>
      <c r="AZ69" s="65">
        <f t="shared" si="110"/>
        <v>4530.3188740992009</v>
      </c>
      <c r="BB69" s="64"/>
      <c r="BC69" s="66"/>
      <c r="BD69" s="66"/>
      <c r="BE69" s="66"/>
    </row>
    <row r="70" spans="1:177" ht="21" customHeight="1" x14ac:dyDescent="0.2">
      <c r="B70" s="67">
        <v>14</v>
      </c>
      <c r="C70" s="73" t="s">
        <v>66</v>
      </c>
      <c r="D70" s="67">
        <v>4098</v>
      </c>
      <c r="E70" s="73" t="s">
        <v>138</v>
      </c>
      <c r="F70" s="72" t="s">
        <v>137</v>
      </c>
      <c r="G70" s="70">
        <v>44577</v>
      </c>
      <c r="H70" s="55" t="str">
        <f t="shared" si="96"/>
        <v>2 AÑOS</v>
      </c>
      <c r="I70" s="57">
        <v>5260.9611599999998</v>
      </c>
      <c r="J70" s="58"/>
      <c r="K70" s="58"/>
      <c r="L70" s="59"/>
      <c r="M70" s="60">
        <v>4.0000000000000002E-4</v>
      </c>
      <c r="N70" s="61">
        <f t="shared" si="97"/>
        <v>210.4384464</v>
      </c>
      <c r="O70" s="58">
        <f t="shared" si="98"/>
        <v>5471.3996064000003</v>
      </c>
      <c r="P70" s="61">
        <f t="shared" si="99"/>
        <v>10942.799212800001</v>
      </c>
      <c r="Q70" s="61">
        <f t="shared" si="100"/>
        <v>8207.0994095999995</v>
      </c>
      <c r="R70" s="61">
        <f t="shared" si="101"/>
        <v>2735.6998032000001</v>
      </c>
      <c r="S70" s="61">
        <f t="shared" si="102"/>
        <v>364.75997376000004</v>
      </c>
      <c r="T70" s="58">
        <f t="shared" si="58"/>
        <v>418.70797387910403</v>
      </c>
      <c r="U70" s="61">
        <f t="shared" si="103"/>
        <v>4103.5497047999997</v>
      </c>
      <c r="V70" s="58">
        <f t="shared" si="104"/>
        <v>1367.8499016000001</v>
      </c>
      <c r="W70" s="101">
        <v>0</v>
      </c>
      <c r="X70" s="63">
        <f t="shared" si="105"/>
        <v>0</v>
      </c>
      <c r="Y70" s="61">
        <v>579.97167976447986</v>
      </c>
      <c r="Z70" s="61">
        <v>0</v>
      </c>
      <c r="AA70" s="61">
        <f t="shared" si="106"/>
        <v>1367.8499016000003</v>
      </c>
      <c r="AB70" s="61">
        <f t="shared" si="107"/>
        <v>273.56998032000007</v>
      </c>
      <c r="AC70" s="61">
        <v>1889.5704573641585</v>
      </c>
      <c r="AD70" s="61">
        <v>1097.4545349358257</v>
      </c>
      <c r="AE70" s="61">
        <v>648.9973595126113</v>
      </c>
      <c r="AF70" s="61">
        <v>0</v>
      </c>
      <c r="AG70" s="61">
        <f t="shared" si="108"/>
        <v>377.52657284160006</v>
      </c>
      <c r="AH70" s="64"/>
      <c r="AI70" s="64"/>
      <c r="AJ70" s="67">
        <v>14</v>
      </c>
      <c r="AK70" s="73" t="s">
        <v>66</v>
      </c>
      <c r="AL70" s="67">
        <v>4098</v>
      </c>
      <c r="AM70" s="73" t="s">
        <v>138</v>
      </c>
      <c r="AN70" s="72" t="s">
        <v>137</v>
      </c>
      <c r="AO70" s="138">
        <f t="shared" si="109"/>
        <v>98485.192915199994</v>
      </c>
      <c r="AP70" s="65">
        <f t="shared" si="109"/>
        <v>32828.397638399998</v>
      </c>
      <c r="AQ70" s="65">
        <f t="shared" si="110"/>
        <v>0</v>
      </c>
      <c r="AR70" s="65">
        <f t="shared" si="110"/>
        <v>6959.6601571737583</v>
      </c>
      <c r="AS70" s="65">
        <f t="shared" si="110"/>
        <v>0</v>
      </c>
      <c r="AT70" s="65">
        <f t="shared" si="110"/>
        <v>16414.198819200003</v>
      </c>
      <c r="AU70" s="65">
        <f t="shared" si="110"/>
        <v>3282.8397638400011</v>
      </c>
      <c r="AV70" s="65">
        <f t="shared" si="110"/>
        <v>22674.845488369901</v>
      </c>
      <c r="AW70" s="65">
        <f t="shared" si="110"/>
        <v>13169.454419229907</v>
      </c>
      <c r="AX70" s="65">
        <f t="shared" si="110"/>
        <v>7787.968314151336</v>
      </c>
      <c r="AY70" s="65">
        <f t="shared" si="110"/>
        <v>0</v>
      </c>
      <c r="AZ70" s="65">
        <f t="shared" si="110"/>
        <v>4530.3188740992009</v>
      </c>
      <c r="BB70" s="64"/>
      <c r="BC70" s="66"/>
      <c r="BD70" s="66"/>
      <c r="BE70" s="66"/>
    </row>
    <row r="71" spans="1:177" ht="21" customHeight="1" x14ac:dyDescent="0.2">
      <c r="B71" s="67">
        <v>15</v>
      </c>
      <c r="C71" s="73" t="s">
        <v>66</v>
      </c>
      <c r="D71" s="67">
        <v>9108</v>
      </c>
      <c r="E71" s="72" t="s">
        <v>139</v>
      </c>
      <c r="F71" s="72" t="s">
        <v>137</v>
      </c>
      <c r="G71" s="157">
        <v>43344</v>
      </c>
      <c r="H71" s="55" t="str">
        <f t="shared" si="96"/>
        <v>6 AÑOS</v>
      </c>
      <c r="I71" s="57">
        <v>5260.7165920176531</v>
      </c>
      <c r="J71" s="58"/>
      <c r="K71" s="58"/>
      <c r="L71" s="59"/>
      <c r="M71" s="60">
        <v>4.0000000000000002E-4</v>
      </c>
      <c r="N71" s="61">
        <f t="shared" si="97"/>
        <v>210.42866368070614</v>
      </c>
      <c r="O71" s="57">
        <f t="shared" si="98"/>
        <v>5471.1452556983595</v>
      </c>
      <c r="P71" s="81">
        <f t="shared" si="99"/>
        <v>10942.290511396719</v>
      </c>
      <c r="Q71" s="81">
        <f t="shared" si="100"/>
        <v>8206.7178835475388</v>
      </c>
      <c r="R71" s="81">
        <f t="shared" si="101"/>
        <v>2735.5726278491798</v>
      </c>
      <c r="S71" s="81">
        <f t="shared" si="102"/>
        <v>364.74301704655733</v>
      </c>
      <c r="T71" s="57">
        <f t="shared" si="58"/>
        <v>418.68850926774314</v>
      </c>
      <c r="U71" s="81">
        <f t="shared" si="103"/>
        <v>4103.3589417737694</v>
      </c>
      <c r="V71" s="57">
        <f t="shared" si="104"/>
        <v>1367.7863139245899</v>
      </c>
      <c r="W71" s="101">
        <v>2.5000000000000001E-2</v>
      </c>
      <c r="X71" s="158">
        <f t="shared" si="105"/>
        <v>273.55726278491801</v>
      </c>
      <c r="Y71" s="81">
        <v>579.93016972997214</v>
      </c>
      <c r="Z71" s="81">
        <v>0</v>
      </c>
      <c r="AA71" s="81">
        <f t="shared" si="106"/>
        <v>1367.7863139245901</v>
      </c>
      <c r="AB71" s="81">
        <f t="shared" si="107"/>
        <v>273.55726278491801</v>
      </c>
      <c r="AC71" s="81">
        <v>1889.5081099696997</v>
      </c>
      <c r="AD71" s="81">
        <v>1097.403517216218</v>
      </c>
      <c r="AE71" s="81">
        <v>648.9671893650019</v>
      </c>
      <c r="AF71" s="81">
        <v>0</v>
      </c>
      <c r="AG71" s="81">
        <f t="shared" si="108"/>
        <v>377.50902264318682</v>
      </c>
      <c r="AH71" s="64"/>
      <c r="AI71" s="64"/>
      <c r="AJ71" s="67">
        <v>15</v>
      </c>
      <c r="AK71" s="73" t="s">
        <v>66</v>
      </c>
      <c r="AL71" s="67">
        <v>9108</v>
      </c>
      <c r="AM71" s="72" t="s">
        <v>139</v>
      </c>
      <c r="AN71" s="72" t="s">
        <v>137</v>
      </c>
      <c r="AO71" s="159">
        <f t="shared" si="109"/>
        <v>98480.614602570466</v>
      </c>
      <c r="AP71" s="159">
        <f t="shared" si="109"/>
        <v>32826.871534190155</v>
      </c>
      <c r="AQ71" s="159">
        <f t="shared" si="110"/>
        <v>3282.6871534190159</v>
      </c>
      <c r="AR71" s="159">
        <f t="shared" si="110"/>
        <v>6959.1620367596661</v>
      </c>
      <c r="AS71" s="159">
        <f t="shared" si="110"/>
        <v>0</v>
      </c>
      <c r="AT71" s="159">
        <f t="shared" si="110"/>
        <v>16413.435767095081</v>
      </c>
      <c r="AU71" s="159">
        <f t="shared" si="110"/>
        <v>3282.6871534190159</v>
      </c>
      <c r="AV71" s="159">
        <f t="shared" si="110"/>
        <v>22674.097319636396</v>
      </c>
      <c r="AW71" s="159">
        <f t="shared" si="110"/>
        <v>13168.842206594616</v>
      </c>
      <c r="AX71" s="159">
        <f t="shared" si="110"/>
        <v>7787.6062723800223</v>
      </c>
      <c r="AY71" s="159">
        <f t="shared" si="110"/>
        <v>0</v>
      </c>
      <c r="AZ71" s="159">
        <f t="shared" si="110"/>
        <v>4530.1082717182417</v>
      </c>
      <c r="BB71" s="64"/>
      <c r="BC71" s="66"/>
      <c r="BD71" s="66"/>
      <c r="BE71" s="66"/>
    </row>
    <row r="72" spans="1:177" ht="21" customHeight="1" x14ac:dyDescent="0.2">
      <c r="B72" s="67">
        <v>16</v>
      </c>
      <c r="C72" s="73" t="s">
        <v>66</v>
      </c>
      <c r="D72" s="67">
        <v>40100</v>
      </c>
      <c r="E72" s="73" t="s">
        <v>140</v>
      </c>
      <c r="F72" s="160" t="s">
        <v>137</v>
      </c>
      <c r="G72" s="125">
        <v>45292</v>
      </c>
      <c r="H72" s="56" t="str">
        <f t="shared" si="96"/>
        <v>0 AÑOS</v>
      </c>
      <c r="I72" s="57">
        <v>4790.1000000000004</v>
      </c>
      <c r="J72" s="161">
        <v>5471.15</v>
      </c>
      <c r="K72" s="162">
        <f>J72-I72</f>
        <v>681.04999999999927</v>
      </c>
      <c r="L72" s="163">
        <f>K72*100/I72</f>
        <v>14.217866015323255</v>
      </c>
      <c r="M72" s="164">
        <v>1.4220000000000001E-3</v>
      </c>
      <c r="N72" s="165">
        <f>I72*0.1422</f>
        <v>681.15222000000006</v>
      </c>
      <c r="O72" s="58">
        <f t="shared" si="98"/>
        <v>5471.2522200000003</v>
      </c>
      <c r="P72" s="61">
        <f t="shared" si="99"/>
        <v>10942.504440000001</v>
      </c>
      <c r="Q72" s="61">
        <f t="shared" si="100"/>
        <v>8206.8783299999996</v>
      </c>
      <c r="R72" s="61">
        <f t="shared" si="101"/>
        <v>2735.6261100000002</v>
      </c>
      <c r="S72" s="61">
        <f t="shared" si="102"/>
        <v>364.75014800000002</v>
      </c>
      <c r="T72" s="58">
        <f t="shared" si="58"/>
        <v>418.69669488919999</v>
      </c>
      <c r="U72" s="61">
        <f t="shared" si="103"/>
        <v>4103.4391649999998</v>
      </c>
      <c r="V72" s="58">
        <f t="shared" si="104"/>
        <v>1367.8130550000001</v>
      </c>
      <c r="W72" s="101">
        <v>0</v>
      </c>
      <c r="X72" s="63">
        <f t="shared" si="105"/>
        <v>0</v>
      </c>
      <c r="Y72" s="61">
        <v>579.92999999999995</v>
      </c>
      <c r="Z72" s="61"/>
      <c r="AA72" s="61">
        <f t="shared" si="106"/>
        <v>1367.8130550000003</v>
      </c>
      <c r="AB72" s="61">
        <f t="shared" si="107"/>
        <v>273.562611</v>
      </c>
      <c r="AC72" s="61">
        <v>1889.5081099696997</v>
      </c>
      <c r="AD72" s="61">
        <v>1097.403517216218</v>
      </c>
      <c r="AE72" s="61">
        <v>648.9671893650019</v>
      </c>
      <c r="AF72" s="61">
        <v>0</v>
      </c>
      <c r="AG72" s="61">
        <f t="shared" si="108"/>
        <v>377.51640318</v>
      </c>
      <c r="AH72" s="64"/>
      <c r="AI72" s="64"/>
      <c r="AJ72" s="67">
        <v>16</v>
      </c>
      <c r="AK72" s="73" t="s">
        <v>66</v>
      </c>
      <c r="AL72" s="67">
        <v>40100</v>
      </c>
      <c r="AM72" s="73" t="s">
        <v>140</v>
      </c>
      <c r="AN72" s="160" t="s">
        <v>137</v>
      </c>
      <c r="AO72" s="159">
        <f>Q72*10</f>
        <v>82068.783299999996</v>
      </c>
      <c r="AP72" s="159">
        <f>R72*10</f>
        <v>27356.261100000003</v>
      </c>
      <c r="AQ72" s="159">
        <f t="shared" ref="AQ72:AZ72" si="111">X72*10</f>
        <v>0</v>
      </c>
      <c r="AR72" s="159">
        <f t="shared" si="111"/>
        <v>5799.2999999999993</v>
      </c>
      <c r="AS72" s="159">
        <f t="shared" si="111"/>
        <v>0</v>
      </c>
      <c r="AT72" s="159">
        <f t="shared" si="111"/>
        <v>13678.130550000003</v>
      </c>
      <c r="AU72" s="159">
        <f t="shared" si="111"/>
        <v>2735.6261100000002</v>
      </c>
      <c r="AV72" s="159">
        <f t="shared" si="111"/>
        <v>18895.081099696996</v>
      </c>
      <c r="AW72" s="159">
        <f t="shared" si="111"/>
        <v>10974.035172162181</v>
      </c>
      <c r="AX72" s="159">
        <f t="shared" si="111"/>
        <v>6489.6718936500192</v>
      </c>
      <c r="AY72" s="159">
        <f t="shared" si="111"/>
        <v>0</v>
      </c>
      <c r="AZ72" s="159">
        <f t="shared" si="111"/>
        <v>3775.1640318</v>
      </c>
      <c r="BB72" s="64"/>
      <c r="BC72" s="66"/>
      <c r="BD72" s="66"/>
      <c r="BE72" s="66"/>
    </row>
    <row r="73" spans="1:177" s="96" customFormat="1" ht="21" customHeight="1" x14ac:dyDescent="0.2">
      <c r="A73" s="50"/>
      <c r="B73" s="455" t="s">
        <v>99</v>
      </c>
      <c r="C73" s="456"/>
      <c r="D73" s="456"/>
      <c r="E73" s="143">
        <v>16</v>
      </c>
      <c r="F73" s="166" t="s">
        <v>100</v>
      </c>
      <c r="G73" s="139"/>
      <c r="H73" s="89"/>
      <c r="I73" s="91">
        <f>SUM(I67:I72)</f>
        <v>33926.057799135793</v>
      </c>
      <c r="J73" s="91">
        <f t="shared" ref="J73:AG73" si="112">SUM(J67:J72)</f>
        <v>5471.15</v>
      </c>
      <c r="K73" s="91">
        <f t="shared" si="112"/>
        <v>681.04999999999927</v>
      </c>
      <c r="L73" s="140">
        <f t="shared" si="112"/>
        <v>14.217866015323255</v>
      </c>
      <c r="M73" s="91">
        <f t="shared" si="112"/>
        <v>3.4220000000000001E-3</v>
      </c>
      <c r="N73" s="91">
        <f t="shared" si="112"/>
        <v>1846.5905319654321</v>
      </c>
      <c r="O73" s="91">
        <f t="shared" si="112"/>
        <v>35772.648331101234</v>
      </c>
      <c r="P73" s="91">
        <f t="shared" si="112"/>
        <v>71545.296662202469</v>
      </c>
      <c r="Q73" s="91">
        <f t="shared" si="112"/>
        <v>53658.972496651848</v>
      </c>
      <c r="R73" s="91">
        <f t="shared" si="112"/>
        <v>17886.324165550617</v>
      </c>
      <c r="S73" s="91">
        <f t="shared" si="112"/>
        <v>2384.8432220734153</v>
      </c>
      <c r="T73" s="91">
        <f t="shared" si="112"/>
        <v>2737.5615346180734</v>
      </c>
      <c r="U73" s="141">
        <f t="shared" si="112"/>
        <v>26829.486248325924</v>
      </c>
      <c r="V73" s="91">
        <f t="shared" si="112"/>
        <v>8943.1620827753086</v>
      </c>
      <c r="W73" s="91">
        <f t="shared" si="112"/>
        <v>7.5000000000000011E-2</v>
      </c>
      <c r="X73" s="91">
        <f t="shared" si="112"/>
        <v>967.92984491506172</v>
      </c>
      <c r="Y73" s="91">
        <f t="shared" si="112"/>
        <v>3960.3141653317198</v>
      </c>
      <c r="Z73" s="91">
        <f t="shared" si="112"/>
        <v>0</v>
      </c>
      <c r="AA73" s="91">
        <f t="shared" si="112"/>
        <v>8943.1620827753086</v>
      </c>
      <c r="AB73" s="91">
        <f t="shared" si="112"/>
        <v>1788.6324165550618</v>
      </c>
      <c r="AC73" s="91">
        <f t="shared" si="112"/>
        <v>12059.102256737302</v>
      </c>
      <c r="AD73" s="91">
        <f t="shared" si="112"/>
        <v>7175.2642053875825</v>
      </c>
      <c r="AE73" s="91">
        <f t="shared" si="112"/>
        <v>4243.207690944756</v>
      </c>
      <c r="AF73" s="91">
        <f t="shared" si="112"/>
        <v>0</v>
      </c>
      <c r="AG73" s="91">
        <f t="shared" si="112"/>
        <v>2468.3127348459848</v>
      </c>
      <c r="AH73" s="92"/>
      <c r="AI73" s="92"/>
      <c r="AJ73" s="455" t="s">
        <v>99</v>
      </c>
      <c r="AK73" s="456"/>
      <c r="AL73" s="456"/>
      <c r="AM73" s="143">
        <v>16</v>
      </c>
      <c r="AN73" s="166" t="s">
        <v>100</v>
      </c>
      <c r="AO73" s="144">
        <f>SUM(AO67:AO72)+14945.11</f>
        <v>642439.02329982212</v>
      </c>
      <c r="AP73" s="144">
        <f>SUM(AP67:AP72)+4981.7</f>
        <v>214146.33776660741</v>
      </c>
      <c r="AQ73" s="144">
        <f t="shared" ref="AQ73:AY73" si="113">SUM(AQ67:AQ72)</f>
        <v>11615.158138980738</v>
      </c>
      <c r="AR73" s="144">
        <f>SUM(AR67:AR72)+1000.1</f>
        <v>47364.009983980643</v>
      </c>
      <c r="AS73" s="144">
        <f t="shared" si="113"/>
        <v>0</v>
      </c>
      <c r="AT73" s="144">
        <f>SUM(AT67:AT72)+2490.85</f>
        <v>107073.1688833037</v>
      </c>
      <c r="AU73" s="144">
        <f>SUM(AU67:AU72)+498.17</f>
        <v>21414.633776660743</v>
      </c>
      <c r="AV73" s="144">
        <f>SUM(AV67:AV72)+3445.08</f>
        <v>144375.29086090819</v>
      </c>
      <c r="AW73" s="144">
        <f>SUM(AW67:AW72)+1846.92</f>
        <v>85755.283430218551</v>
      </c>
      <c r="AX73" s="144">
        <f>SUM(AX67:AX72)+1153.6</f>
        <v>50774.157912607072</v>
      </c>
      <c r="AY73" s="144">
        <f t="shared" si="113"/>
        <v>0</v>
      </c>
      <c r="AZ73" s="144">
        <f>SUM(AZ67:AZ72)+687.48</f>
        <v>29552.200011791818</v>
      </c>
      <c r="BA73" s="94"/>
      <c r="BB73" s="92"/>
      <c r="BC73" s="95"/>
      <c r="BD73" s="95"/>
      <c r="BE73" s="95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</row>
    <row r="74" spans="1:177" ht="21" customHeight="1" x14ac:dyDescent="0.2">
      <c r="B74" s="457" t="s">
        <v>101</v>
      </c>
      <c r="C74" s="458"/>
      <c r="D74" s="458"/>
      <c r="E74" s="76">
        <v>16</v>
      </c>
      <c r="F74" s="122" t="s">
        <v>141</v>
      </c>
      <c r="G74" s="146"/>
      <c r="H74" s="147"/>
      <c r="I74" s="57">
        <f>I66+I73</f>
        <v>264298.91932764644</v>
      </c>
      <c r="J74" s="57">
        <f t="shared" ref="J74:AG74" si="114">J66+J73</f>
        <v>5471.15</v>
      </c>
      <c r="K74" s="57">
        <f t="shared" si="114"/>
        <v>681.04999999999927</v>
      </c>
      <c r="L74" s="74">
        <f t="shared" si="114"/>
        <v>14.217866015323255</v>
      </c>
      <c r="M74" s="57">
        <f t="shared" si="114"/>
        <v>7.4220000000000015E-3</v>
      </c>
      <c r="N74" s="57">
        <f t="shared" si="114"/>
        <v>11061.504993105855</v>
      </c>
      <c r="O74" s="57">
        <f t="shared" si="114"/>
        <v>275360.42432075227</v>
      </c>
      <c r="P74" s="57">
        <f t="shared" si="114"/>
        <v>550720.84864150453</v>
      </c>
      <c r="Q74" s="57">
        <f t="shared" si="114"/>
        <v>413040.6364811284</v>
      </c>
      <c r="R74" s="57">
        <f t="shared" si="114"/>
        <v>137680.21216037613</v>
      </c>
      <c r="S74" s="57">
        <f t="shared" si="114"/>
        <v>18357.361621383483</v>
      </c>
      <c r="T74" s="57">
        <f t="shared" si="114"/>
        <v>21072.415405186101</v>
      </c>
      <c r="U74" s="81">
        <f t="shared" si="114"/>
        <v>206520.3182405642</v>
      </c>
      <c r="V74" s="57">
        <f t="shared" si="114"/>
        <v>68840.106080188067</v>
      </c>
      <c r="W74" s="57">
        <f t="shared" si="114"/>
        <v>7.5000000000000011E-2</v>
      </c>
      <c r="X74" s="57">
        <f t="shared" si="114"/>
        <v>967.92984491506172</v>
      </c>
      <c r="Y74" s="57">
        <f t="shared" si="114"/>
        <v>65368.023294480598</v>
      </c>
      <c r="Z74" s="57">
        <f t="shared" si="114"/>
        <v>0</v>
      </c>
      <c r="AA74" s="57">
        <f t="shared" si="114"/>
        <v>68840.106080188067</v>
      </c>
      <c r="AB74" s="57">
        <f t="shared" si="114"/>
        <v>1788.6324165550618</v>
      </c>
      <c r="AC74" s="57">
        <f t="shared" si="114"/>
        <v>12059.102256737302</v>
      </c>
      <c r="AD74" s="57">
        <f t="shared" si="114"/>
        <v>7175.2642053875825</v>
      </c>
      <c r="AE74" s="57">
        <f t="shared" si="114"/>
        <v>4243.207690944756</v>
      </c>
      <c r="AF74" s="57">
        <f t="shared" si="114"/>
        <v>39915.323479875871</v>
      </c>
      <c r="AG74" s="57">
        <f t="shared" si="114"/>
        <v>18640.487614147423</v>
      </c>
      <c r="AH74" s="92">
        <f>Q74+R74-Y74+Z74+X74+AA74+AB74+AC74+AD74+AE74+AF74+AG74</f>
        <v>638982.87893577525</v>
      </c>
      <c r="AI74" s="92">
        <f>AH74*12</f>
        <v>7667794.547229303</v>
      </c>
      <c r="AJ74" s="457" t="s">
        <v>101</v>
      </c>
      <c r="AK74" s="458"/>
      <c r="AL74" s="458"/>
      <c r="AM74" s="76">
        <v>16</v>
      </c>
      <c r="AN74" s="122" t="s">
        <v>141</v>
      </c>
      <c r="AO74" s="148">
        <f>AO66+AO73</f>
        <v>4955018.9911135416</v>
      </c>
      <c r="AP74" s="148">
        <f t="shared" ref="AP74:AZ74" si="115">AP66+AP73</f>
        <v>1651672.9937045136</v>
      </c>
      <c r="AQ74" s="148">
        <f t="shared" si="115"/>
        <v>11615.158138980738</v>
      </c>
      <c r="AR74" s="148">
        <f t="shared" si="115"/>
        <v>784256.51953376713</v>
      </c>
      <c r="AS74" s="148">
        <f t="shared" si="115"/>
        <v>0</v>
      </c>
      <c r="AT74" s="148">
        <f t="shared" si="115"/>
        <v>825836.49685225682</v>
      </c>
      <c r="AU74" s="148">
        <f t="shared" si="115"/>
        <v>21414.633776660743</v>
      </c>
      <c r="AV74" s="148">
        <f t="shared" si="115"/>
        <v>144375.29086090819</v>
      </c>
      <c r="AW74" s="148">
        <f t="shared" si="115"/>
        <v>85755.283430218551</v>
      </c>
      <c r="AX74" s="148">
        <f t="shared" si="115"/>
        <v>50774.157912607072</v>
      </c>
      <c r="AY74" s="148">
        <f t="shared" si="115"/>
        <v>478983.88175851031</v>
      </c>
      <c r="AZ74" s="148">
        <f t="shared" si="115"/>
        <v>223618.29856340916</v>
      </c>
      <c r="BA74" s="94"/>
      <c r="BB74" s="92">
        <f>AO74+AP74+AQ74-AR74+AS74+AU74+AV74+AT74+AW74+AX74+AY74+AZ74</f>
        <v>7664808.6665778402</v>
      </c>
      <c r="BC74" s="95"/>
      <c r="BD74" s="95"/>
      <c r="BE74" s="95"/>
    </row>
    <row r="75" spans="1:177" ht="21" customHeight="1" x14ac:dyDescent="0.2">
      <c r="B75" s="457" t="s">
        <v>103</v>
      </c>
      <c r="C75" s="458"/>
      <c r="D75" s="458"/>
      <c r="E75" s="76">
        <f>E73-E74</f>
        <v>0</v>
      </c>
      <c r="F75" s="76"/>
      <c r="G75" s="479"/>
      <c r="H75" s="479"/>
      <c r="I75" s="479"/>
      <c r="J75" s="479"/>
      <c r="K75" s="479"/>
      <c r="L75" s="479"/>
      <c r="M75" s="479"/>
      <c r="N75" s="479"/>
      <c r="O75" s="479"/>
      <c r="P75" s="479"/>
      <c r="Q75" s="479"/>
      <c r="R75" s="479"/>
      <c r="S75" s="479"/>
      <c r="T75" s="479"/>
      <c r="U75" s="479"/>
      <c r="V75" s="479"/>
      <c r="W75" s="479"/>
      <c r="X75" s="479"/>
      <c r="Y75" s="479"/>
      <c r="Z75" s="479"/>
      <c r="AA75" s="479"/>
      <c r="AB75" s="479"/>
      <c r="AC75" s="479"/>
      <c r="AD75" s="479"/>
      <c r="AE75" s="479"/>
      <c r="AF75" s="479"/>
      <c r="AG75" s="480"/>
      <c r="AH75" s="92"/>
      <c r="AI75" s="92"/>
      <c r="AJ75" s="457" t="s">
        <v>103</v>
      </c>
      <c r="AK75" s="458"/>
      <c r="AL75" s="458"/>
      <c r="AM75" s="76">
        <f>AM73-AM74</f>
        <v>0</v>
      </c>
      <c r="AN75" s="76"/>
      <c r="AO75" s="481"/>
      <c r="AP75" s="482"/>
      <c r="AQ75" s="482"/>
      <c r="AR75" s="482"/>
      <c r="AS75" s="482"/>
      <c r="AT75" s="482"/>
      <c r="AU75" s="482"/>
      <c r="AV75" s="482"/>
      <c r="AW75" s="482"/>
      <c r="AX75" s="482"/>
      <c r="AY75" s="482"/>
      <c r="AZ75" s="483"/>
      <c r="BA75" s="152"/>
      <c r="BB75" s="92"/>
      <c r="BC75" s="95"/>
      <c r="BD75" s="95"/>
      <c r="BE75" s="95"/>
    </row>
    <row r="76" spans="1:177" ht="21" customHeight="1" x14ac:dyDescent="0.2">
      <c r="B76" s="5"/>
      <c r="C76" s="94"/>
      <c r="D76" s="5"/>
      <c r="E76" s="94"/>
      <c r="G76" s="27"/>
      <c r="H76" s="27"/>
      <c r="I76" s="95"/>
      <c r="J76" s="95"/>
      <c r="K76" s="95"/>
      <c r="L76" s="27"/>
      <c r="M76" s="128"/>
      <c r="N76" s="66"/>
      <c r="O76" s="95"/>
      <c r="P76" s="66"/>
      <c r="Q76" s="66"/>
      <c r="R76" s="66"/>
      <c r="S76" s="66"/>
      <c r="T76" s="95"/>
      <c r="U76" s="66"/>
      <c r="V76" s="95"/>
      <c r="W76" s="129"/>
      <c r="X76" s="130"/>
      <c r="Y76" s="66"/>
      <c r="Z76" s="66"/>
      <c r="AA76" s="66"/>
      <c r="AB76" s="66"/>
      <c r="AC76" s="66"/>
      <c r="AD76" s="66"/>
      <c r="AE76" s="66"/>
      <c r="AF76" s="66"/>
      <c r="AG76" s="66"/>
      <c r="AH76" s="64"/>
      <c r="AI76" s="64"/>
      <c r="AJ76" s="5"/>
      <c r="AK76" s="94"/>
      <c r="AL76" s="5"/>
      <c r="AM76" s="94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2"/>
      <c r="BB76" s="92"/>
      <c r="BC76" s="95"/>
      <c r="BD76" s="95"/>
      <c r="BE76" s="95"/>
    </row>
    <row r="77" spans="1:177" ht="21" customHeight="1" thickBot="1" x14ac:dyDescent="0.25">
      <c r="B77" s="5"/>
      <c r="C77" s="94"/>
      <c r="D77" s="5"/>
      <c r="E77" s="94"/>
      <c r="G77" s="27"/>
      <c r="H77" s="27"/>
      <c r="I77" s="95"/>
      <c r="J77" s="95"/>
      <c r="K77" s="95"/>
      <c r="L77" s="27"/>
      <c r="M77" s="128"/>
      <c r="N77" s="66"/>
      <c r="O77" s="95"/>
      <c r="P77" s="66"/>
      <c r="Q77" s="66"/>
      <c r="R77" s="66"/>
      <c r="S77" s="66"/>
      <c r="T77" s="95"/>
      <c r="U77" s="66"/>
      <c r="V77" s="95"/>
      <c r="W77" s="129"/>
      <c r="X77" s="130"/>
      <c r="Y77" s="66"/>
      <c r="Z77" s="66"/>
      <c r="AA77" s="66"/>
      <c r="AB77" s="66"/>
      <c r="AC77" s="66"/>
      <c r="AD77" s="66"/>
      <c r="AE77" s="66"/>
      <c r="AF77" s="66"/>
      <c r="AG77" s="66"/>
      <c r="AH77" s="64"/>
      <c r="AI77" s="64"/>
      <c r="AJ77" s="5"/>
      <c r="AK77" s="94"/>
      <c r="AL77" s="5"/>
      <c r="AM77" s="94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2"/>
      <c r="BB77" s="92"/>
      <c r="BC77" s="95"/>
      <c r="BD77" s="95"/>
      <c r="BE77" s="95"/>
    </row>
    <row r="78" spans="1:177" s="134" customFormat="1" ht="21" customHeight="1" thickBot="1" x14ac:dyDescent="0.25">
      <c r="A78" s="94"/>
      <c r="B78" s="463" t="s">
        <v>142</v>
      </c>
      <c r="C78" s="464"/>
      <c r="D78" s="464"/>
      <c r="E78" s="465"/>
      <c r="F78" s="466" t="s">
        <v>4</v>
      </c>
      <c r="G78" s="7" t="s">
        <v>5</v>
      </c>
      <c r="H78" s="8" t="s">
        <v>6</v>
      </c>
      <c r="I78" s="9" t="s">
        <v>7</v>
      </c>
      <c r="J78" s="9"/>
      <c r="K78" s="9"/>
      <c r="L78" s="9"/>
      <c r="M78" s="10">
        <v>4.0000000000000002E-4</v>
      </c>
      <c r="N78" s="11" t="s">
        <v>8</v>
      </c>
      <c r="O78" s="12" t="s">
        <v>9</v>
      </c>
      <c r="P78" s="12" t="s">
        <v>10</v>
      </c>
      <c r="Q78" s="13" t="s">
        <v>11</v>
      </c>
      <c r="R78" s="12" t="s">
        <v>12</v>
      </c>
      <c r="S78" s="14" t="s">
        <v>11</v>
      </c>
      <c r="T78" s="15" t="s">
        <v>13</v>
      </c>
      <c r="U78" s="16" t="s">
        <v>11</v>
      </c>
      <c r="V78" s="17" t="s">
        <v>12</v>
      </c>
      <c r="W78" s="18" t="s">
        <v>14</v>
      </c>
      <c r="X78" s="19" t="s">
        <v>15</v>
      </c>
      <c r="Y78" s="15" t="s">
        <v>16</v>
      </c>
      <c r="Z78" s="13" t="s">
        <v>17</v>
      </c>
      <c r="AA78" s="20" t="s">
        <v>18</v>
      </c>
      <c r="AB78" s="17" t="s">
        <v>19</v>
      </c>
      <c r="AC78" s="13" t="s">
        <v>20</v>
      </c>
      <c r="AD78" s="13" t="s">
        <v>21</v>
      </c>
      <c r="AE78" s="13" t="s">
        <v>22</v>
      </c>
      <c r="AF78" s="17" t="s">
        <v>23</v>
      </c>
      <c r="AG78" s="12" t="s">
        <v>24</v>
      </c>
      <c r="AH78" s="132"/>
      <c r="AI78" s="132"/>
      <c r="AJ78" s="463" t="s">
        <v>142</v>
      </c>
      <c r="AK78" s="464"/>
      <c r="AL78" s="464"/>
      <c r="AM78" s="465"/>
      <c r="AN78" s="466" t="s">
        <v>4</v>
      </c>
      <c r="AO78" s="133" t="s">
        <v>11</v>
      </c>
      <c r="AP78" s="12" t="s">
        <v>12</v>
      </c>
      <c r="AQ78" s="23" t="s">
        <v>15</v>
      </c>
      <c r="AR78" s="22" t="s">
        <v>16</v>
      </c>
      <c r="AS78" s="22" t="s">
        <v>25</v>
      </c>
      <c r="AT78" s="20" t="s">
        <v>26</v>
      </c>
      <c r="AU78" s="24" t="s">
        <v>27</v>
      </c>
      <c r="AV78" s="23" t="s">
        <v>20</v>
      </c>
      <c r="AW78" s="22" t="s">
        <v>28</v>
      </c>
      <c r="AX78" s="22" t="s">
        <v>29</v>
      </c>
      <c r="AY78" s="25" t="s">
        <v>23</v>
      </c>
      <c r="AZ78" s="24" t="s">
        <v>24</v>
      </c>
      <c r="BA78" s="94"/>
      <c r="BB78" s="92"/>
      <c r="BC78" s="95"/>
      <c r="BD78" s="95"/>
      <c r="BE78" s="95"/>
      <c r="BF78" s="94"/>
      <c r="BG78" s="94"/>
      <c r="BH78" s="94"/>
      <c r="BI78" s="94"/>
      <c r="BJ78" s="94"/>
      <c r="BK78" s="94"/>
      <c r="BL78" s="94"/>
      <c r="BM78" s="94"/>
      <c r="BN78" s="94"/>
      <c r="BO78" s="94"/>
      <c r="BP78" s="94"/>
      <c r="BQ78" s="94"/>
      <c r="BR78" s="94"/>
      <c r="BS78" s="94"/>
      <c r="BT78" s="94"/>
      <c r="BU78" s="94"/>
      <c r="BV78" s="94"/>
      <c r="BW78" s="94"/>
      <c r="BX78" s="94"/>
      <c r="BY78" s="94"/>
      <c r="BZ78" s="94"/>
      <c r="CA78" s="94"/>
      <c r="CB78" s="94"/>
      <c r="CC78" s="94"/>
      <c r="CD78" s="94"/>
      <c r="CE78" s="94"/>
      <c r="CF78" s="94"/>
      <c r="CG78" s="94"/>
      <c r="CH78" s="94"/>
      <c r="CI78" s="94"/>
      <c r="CJ78" s="94"/>
      <c r="CK78" s="94"/>
      <c r="CL78" s="94"/>
      <c r="CM78" s="94"/>
      <c r="CN78" s="94"/>
      <c r="CO78" s="94"/>
      <c r="CP78" s="94"/>
      <c r="CQ78" s="94"/>
      <c r="CR78" s="94"/>
      <c r="CS78" s="94"/>
      <c r="CT78" s="94"/>
      <c r="CU78" s="94"/>
      <c r="CV78" s="94"/>
      <c r="CW78" s="94"/>
      <c r="CX78" s="94"/>
      <c r="CY78" s="94"/>
      <c r="CZ78" s="94"/>
      <c r="DA78" s="94"/>
      <c r="DB78" s="94"/>
      <c r="DC78" s="94"/>
      <c r="DD78" s="94"/>
      <c r="DE78" s="94"/>
      <c r="DF78" s="94"/>
      <c r="DG78" s="94"/>
      <c r="DH78" s="94"/>
      <c r="DI78" s="94"/>
      <c r="DJ78" s="94"/>
      <c r="DK78" s="94"/>
      <c r="DL78" s="94"/>
      <c r="DM78" s="94"/>
      <c r="DN78" s="94"/>
      <c r="DO78" s="94"/>
      <c r="DP78" s="94"/>
      <c r="DQ78" s="94"/>
      <c r="DR78" s="94"/>
      <c r="DS78" s="94"/>
      <c r="DT78" s="94"/>
      <c r="DU78" s="94"/>
      <c r="DV78" s="94"/>
      <c r="DW78" s="94"/>
      <c r="DX78" s="94"/>
      <c r="DY78" s="94"/>
      <c r="DZ78" s="94"/>
      <c r="EA78" s="94"/>
      <c r="EB78" s="94"/>
      <c r="EC78" s="94"/>
      <c r="ED78" s="94"/>
      <c r="EE78" s="94"/>
      <c r="EF78" s="94"/>
      <c r="EG78" s="94"/>
      <c r="EH78" s="94"/>
      <c r="EI78" s="94"/>
      <c r="EJ78" s="94"/>
      <c r="EK78" s="94"/>
      <c r="EL78" s="94"/>
      <c r="EM78" s="94"/>
      <c r="EN78" s="94"/>
      <c r="EO78" s="94"/>
      <c r="EP78" s="94"/>
      <c r="EQ78" s="94"/>
      <c r="ER78" s="94"/>
      <c r="ES78" s="94"/>
      <c r="ET78" s="94"/>
      <c r="EU78" s="94"/>
      <c r="EV78" s="94"/>
      <c r="EW78" s="94"/>
      <c r="EX78" s="94"/>
      <c r="EY78" s="94"/>
      <c r="EZ78" s="94"/>
      <c r="FA78" s="94"/>
      <c r="FB78" s="94"/>
      <c r="FC78" s="94"/>
      <c r="FD78" s="94"/>
      <c r="FE78" s="94"/>
      <c r="FF78" s="94"/>
      <c r="FG78" s="94"/>
      <c r="FH78" s="94"/>
      <c r="FI78" s="94"/>
      <c r="FJ78" s="94"/>
      <c r="FK78" s="94"/>
      <c r="FL78" s="94"/>
      <c r="FM78" s="94"/>
      <c r="FN78" s="94"/>
      <c r="FO78" s="94"/>
      <c r="FP78" s="94"/>
      <c r="FQ78" s="94"/>
      <c r="FR78" s="94"/>
      <c r="FS78" s="94"/>
      <c r="FT78" s="94"/>
      <c r="FU78" s="94"/>
    </row>
    <row r="79" spans="1:177" s="134" customFormat="1" ht="21" customHeight="1" thickBot="1" x14ac:dyDescent="0.25">
      <c r="A79" s="94"/>
      <c r="B79" s="30" t="s">
        <v>30</v>
      </c>
      <c r="C79" s="6" t="s">
        <v>31</v>
      </c>
      <c r="D79" s="30" t="s">
        <v>105</v>
      </c>
      <c r="E79" s="32" t="s">
        <v>32</v>
      </c>
      <c r="F79" s="467"/>
      <c r="G79" s="33" t="s">
        <v>33</v>
      </c>
      <c r="H79" s="34">
        <v>45657</v>
      </c>
      <c r="I79" s="35">
        <v>2023</v>
      </c>
      <c r="J79" s="35"/>
      <c r="K79" s="35"/>
      <c r="L79" s="35"/>
      <c r="M79" s="36"/>
      <c r="N79" s="37"/>
      <c r="O79" s="38">
        <v>2024</v>
      </c>
      <c r="P79" s="39" t="s">
        <v>34</v>
      </c>
      <c r="Q79" s="40" t="s">
        <v>35</v>
      </c>
      <c r="R79" s="39" t="s">
        <v>36</v>
      </c>
      <c r="S79" s="41" t="s">
        <v>37</v>
      </c>
      <c r="T79" s="42" t="s">
        <v>38</v>
      </c>
      <c r="U79" s="43" t="s">
        <v>39</v>
      </c>
      <c r="V79" s="41" t="s">
        <v>39</v>
      </c>
      <c r="W79" s="44" t="s">
        <v>15</v>
      </c>
      <c r="X79" s="45" t="s">
        <v>35</v>
      </c>
      <c r="Y79" s="42" t="s">
        <v>35</v>
      </c>
      <c r="Z79" s="40" t="s">
        <v>35</v>
      </c>
      <c r="AA79" s="46" t="s">
        <v>35</v>
      </c>
      <c r="AB79" s="41" t="s">
        <v>35</v>
      </c>
      <c r="AC79" s="40" t="s">
        <v>35</v>
      </c>
      <c r="AD79" s="40" t="s">
        <v>35</v>
      </c>
      <c r="AE79" s="40" t="s">
        <v>35</v>
      </c>
      <c r="AF79" s="41" t="s">
        <v>35</v>
      </c>
      <c r="AG79" s="40" t="s">
        <v>35</v>
      </c>
      <c r="AH79" s="135"/>
      <c r="AI79" s="135"/>
      <c r="AJ79" s="30" t="s">
        <v>30</v>
      </c>
      <c r="AK79" s="6" t="s">
        <v>31</v>
      </c>
      <c r="AL79" s="30" t="s">
        <v>105</v>
      </c>
      <c r="AM79" s="32" t="s">
        <v>32</v>
      </c>
      <c r="AN79" s="467"/>
      <c r="AO79" s="46" t="s">
        <v>40</v>
      </c>
      <c r="AP79" s="39" t="s">
        <v>41</v>
      </c>
      <c r="AQ79" s="48" t="s">
        <v>40</v>
      </c>
      <c r="AR79" s="49" t="s">
        <v>40</v>
      </c>
      <c r="AS79" s="49" t="s">
        <v>40</v>
      </c>
      <c r="AT79" s="46" t="s">
        <v>40</v>
      </c>
      <c r="AU79" s="49" t="s">
        <v>40</v>
      </c>
      <c r="AV79" s="48" t="s">
        <v>40</v>
      </c>
      <c r="AW79" s="49" t="s">
        <v>40</v>
      </c>
      <c r="AX79" s="49" t="s">
        <v>40</v>
      </c>
      <c r="AY79" s="48" t="s">
        <v>40</v>
      </c>
      <c r="AZ79" s="49" t="s">
        <v>40</v>
      </c>
      <c r="BA79" s="94"/>
      <c r="BB79" s="92"/>
      <c r="BC79" s="95"/>
      <c r="BD79" s="95"/>
      <c r="BE79" s="95"/>
      <c r="BF79" s="94"/>
      <c r="BG79" s="94"/>
      <c r="BH79" s="94"/>
      <c r="BI79" s="94"/>
      <c r="BJ79" s="94"/>
      <c r="BK79" s="94"/>
      <c r="BL79" s="94"/>
      <c r="BM79" s="94"/>
      <c r="BN79" s="94"/>
      <c r="BO79" s="94"/>
      <c r="BP79" s="94"/>
      <c r="BQ79" s="94"/>
      <c r="BR79" s="94"/>
      <c r="BS79" s="94"/>
      <c r="BT79" s="94"/>
      <c r="BU79" s="94"/>
      <c r="BV79" s="94"/>
      <c r="BW79" s="94"/>
      <c r="BX79" s="94"/>
      <c r="BY79" s="94"/>
      <c r="BZ79" s="94"/>
      <c r="CA79" s="94"/>
      <c r="CB79" s="94"/>
      <c r="CC79" s="94"/>
      <c r="CD79" s="94"/>
      <c r="CE79" s="94"/>
      <c r="CF79" s="94"/>
      <c r="CG79" s="94"/>
      <c r="CH79" s="94"/>
      <c r="CI79" s="94"/>
      <c r="CJ79" s="94"/>
      <c r="CK79" s="94"/>
      <c r="CL79" s="94"/>
      <c r="CM79" s="94"/>
      <c r="CN79" s="94"/>
      <c r="CO79" s="94"/>
      <c r="CP79" s="94"/>
      <c r="CQ79" s="94"/>
      <c r="CR79" s="94"/>
      <c r="CS79" s="94"/>
      <c r="CT79" s="94"/>
      <c r="CU79" s="94"/>
      <c r="CV79" s="94"/>
      <c r="CW79" s="94"/>
      <c r="CX79" s="94"/>
      <c r="CY79" s="94"/>
      <c r="CZ79" s="94"/>
      <c r="DA79" s="94"/>
      <c r="DB79" s="94"/>
      <c r="DC79" s="94"/>
      <c r="DD79" s="94"/>
      <c r="DE79" s="94"/>
      <c r="DF79" s="94"/>
      <c r="DG79" s="94"/>
      <c r="DH79" s="94"/>
      <c r="DI79" s="94"/>
      <c r="DJ79" s="94"/>
      <c r="DK79" s="94"/>
      <c r="DL79" s="94"/>
      <c r="DM79" s="94"/>
      <c r="DN79" s="94"/>
      <c r="DO79" s="94"/>
      <c r="DP79" s="94"/>
      <c r="DQ79" s="94"/>
      <c r="DR79" s="94"/>
      <c r="DS79" s="94"/>
      <c r="DT79" s="94"/>
      <c r="DU79" s="94"/>
      <c r="DV79" s="94"/>
      <c r="DW79" s="94"/>
      <c r="DX79" s="94"/>
      <c r="DY79" s="94"/>
      <c r="DZ79" s="94"/>
      <c r="EA79" s="94"/>
      <c r="EB79" s="94"/>
      <c r="EC79" s="94"/>
      <c r="ED79" s="94"/>
      <c r="EE79" s="94"/>
      <c r="EF79" s="94"/>
      <c r="EG79" s="94"/>
      <c r="EH79" s="94"/>
      <c r="EI79" s="94"/>
      <c r="EJ79" s="94"/>
      <c r="EK79" s="94"/>
      <c r="EL79" s="94"/>
      <c r="EM79" s="94"/>
      <c r="EN79" s="94"/>
      <c r="EO79" s="94"/>
      <c r="EP79" s="94"/>
      <c r="EQ79" s="94"/>
      <c r="ER79" s="94"/>
      <c r="ES79" s="94"/>
      <c r="ET79" s="94"/>
      <c r="EU79" s="94"/>
      <c r="EV79" s="94"/>
      <c r="EW79" s="94"/>
      <c r="EX79" s="94"/>
      <c r="EY79" s="94"/>
      <c r="EZ79" s="94"/>
      <c r="FA79" s="94"/>
      <c r="FB79" s="94"/>
      <c r="FC79" s="94"/>
      <c r="FD79" s="94"/>
      <c r="FE79" s="94"/>
      <c r="FF79" s="94"/>
      <c r="FG79" s="94"/>
      <c r="FH79" s="94"/>
      <c r="FI79" s="94"/>
      <c r="FJ79" s="94"/>
      <c r="FK79" s="94"/>
      <c r="FL79" s="94"/>
      <c r="FM79" s="94"/>
      <c r="FN79" s="94"/>
      <c r="FO79" s="94"/>
      <c r="FP79" s="94"/>
      <c r="FQ79" s="94"/>
      <c r="FR79" s="94"/>
      <c r="FS79" s="94"/>
      <c r="FT79" s="94"/>
      <c r="FU79" s="94"/>
    </row>
    <row r="80" spans="1:177" ht="21" customHeight="1" x14ac:dyDescent="0.2">
      <c r="B80" s="51">
        <v>1</v>
      </c>
      <c r="C80" s="77" t="s">
        <v>42</v>
      </c>
      <c r="D80" s="51">
        <v>24010</v>
      </c>
      <c r="E80" s="53" t="s">
        <v>143</v>
      </c>
      <c r="F80" s="72" t="s">
        <v>144</v>
      </c>
      <c r="G80" s="155">
        <v>43466</v>
      </c>
      <c r="H80" s="56" t="str">
        <f t="shared" ref="H80:H81" si="116" xml:space="preserve"> CONCATENATE(DATEDIF(G80,H$5,"Y")," AÑOS")</f>
        <v>5 AÑOS</v>
      </c>
      <c r="I80" s="75">
        <v>11787.571042370293</v>
      </c>
      <c r="J80" s="75"/>
      <c r="K80" s="75"/>
      <c r="L80" s="137"/>
      <c r="M80" s="60">
        <v>4.0000000000000002E-4</v>
      </c>
      <c r="N80" s="61">
        <f>I80*0.04</f>
        <v>471.50284169481171</v>
      </c>
      <c r="O80" s="58">
        <f>I80+N80</f>
        <v>12259.073884065105</v>
      </c>
      <c r="P80" s="61">
        <f>O80*2</f>
        <v>24518.147768130209</v>
      </c>
      <c r="Q80" s="61">
        <f>P80*0.75</f>
        <v>18388.610826097658</v>
      </c>
      <c r="R80" s="61">
        <f>P80*0.25</f>
        <v>6129.5369420325524</v>
      </c>
      <c r="S80" s="61">
        <f>(P80/30)</f>
        <v>817.27159227100697</v>
      </c>
      <c r="T80" s="58">
        <f t="shared" si="58"/>
        <v>938.1460607678888</v>
      </c>
      <c r="U80" s="61">
        <f>O80*0.75</f>
        <v>9194.305413048829</v>
      </c>
      <c r="V80" s="58">
        <f>O80*0.25</f>
        <v>3064.7684710162762</v>
      </c>
      <c r="W80" s="62">
        <v>0</v>
      </c>
      <c r="X80" s="63">
        <f>P80*W80</f>
        <v>0</v>
      </c>
      <c r="Y80" s="61">
        <v>2281.68332045446</v>
      </c>
      <c r="Z80" s="61">
        <v>0</v>
      </c>
      <c r="AA80" s="61">
        <f>(S80*45)/12</f>
        <v>3064.7684710162762</v>
      </c>
      <c r="AB80" s="61">
        <f>(S80*10)*(0.45*2)/12</f>
        <v>612.95369420325517</v>
      </c>
      <c r="AC80" s="61">
        <v>3553.3905408803544</v>
      </c>
      <c r="AD80" s="61">
        <v>2458.9277325756748</v>
      </c>
      <c r="AE80" s="61">
        <v>1454.1263941902278</v>
      </c>
      <c r="AF80" s="61">
        <v>0</v>
      </c>
      <c r="AG80" s="61">
        <f>(P80+AA80+AB80)*0.03</f>
        <v>845.87609800049211</v>
      </c>
      <c r="AH80" s="64"/>
      <c r="AI80" s="64"/>
      <c r="AJ80" s="51">
        <v>1</v>
      </c>
      <c r="AK80" s="77" t="s">
        <v>42</v>
      </c>
      <c r="AL80" s="51">
        <v>24010</v>
      </c>
      <c r="AM80" s="53" t="s">
        <v>143</v>
      </c>
      <c r="AN80" s="72" t="s">
        <v>144</v>
      </c>
      <c r="AO80" s="138">
        <f>Q80*12</f>
        <v>220663.32991317188</v>
      </c>
      <c r="AP80" s="65">
        <f>R80*12</f>
        <v>73554.443304390632</v>
      </c>
      <c r="AQ80" s="65">
        <f t="shared" ref="AQ80:AZ81" si="117">X80*12</f>
        <v>0</v>
      </c>
      <c r="AR80" s="65">
        <f t="shared" si="117"/>
        <v>27380.199845453521</v>
      </c>
      <c r="AS80" s="65">
        <f t="shared" si="117"/>
        <v>0</v>
      </c>
      <c r="AT80" s="65">
        <f t="shared" si="117"/>
        <v>36777.221652195316</v>
      </c>
      <c r="AU80" s="65">
        <f t="shared" si="117"/>
        <v>7355.4443304390625</v>
      </c>
      <c r="AV80" s="65">
        <f t="shared" si="117"/>
        <v>42640.686490564251</v>
      </c>
      <c r="AW80" s="65">
        <f t="shared" si="117"/>
        <v>29507.132790908097</v>
      </c>
      <c r="AX80" s="65">
        <f t="shared" si="117"/>
        <v>17449.516730282732</v>
      </c>
      <c r="AY80" s="65">
        <f t="shared" si="117"/>
        <v>0</v>
      </c>
      <c r="AZ80" s="65">
        <f t="shared" si="117"/>
        <v>10150.513176005905</v>
      </c>
      <c r="BB80" s="64"/>
      <c r="BC80" s="66"/>
      <c r="BD80" s="66"/>
      <c r="BE80" s="66"/>
    </row>
    <row r="81" spans="1:177" ht="21" customHeight="1" x14ac:dyDescent="0.2">
      <c r="B81" s="67">
        <v>2</v>
      </c>
      <c r="C81" s="73" t="s">
        <v>42</v>
      </c>
      <c r="D81" s="67">
        <v>6146</v>
      </c>
      <c r="E81" s="73" t="s">
        <v>145</v>
      </c>
      <c r="F81" s="72" t="s">
        <v>146</v>
      </c>
      <c r="G81" s="123">
        <v>44479</v>
      </c>
      <c r="H81" s="56" t="str">
        <f t="shared" si="116"/>
        <v>3 AÑOS</v>
      </c>
      <c r="I81" s="57">
        <v>24435.5846856114</v>
      </c>
      <c r="J81" s="58"/>
      <c r="K81" s="58"/>
      <c r="L81" s="59"/>
      <c r="M81" s="60">
        <v>4.0000000000000002E-4</v>
      </c>
      <c r="N81" s="61">
        <f>I81*0.04</f>
        <v>977.423387424456</v>
      </c>
      <c r="O81" s="58">
        <f>I81+N81</f>
        <v>25413.008073035857</v>
      </c>
      <c r="P81" s="61">
        <f>O81*2</f>
        <v>50826.016146071714</v>
      </c>
      <c r="Q81" s="61">
        <f>P81*0.75</f>
        <v>38119.512109553783</v>
      </c>
      <c r="R81" s="61">
        <f>P81*0.25</f>
        <v>12706.504036517928</v>
      </c>
      <c r="S81" s="61">
        <f>(P81/30)</f>
        <v>1694.2005382023904</v>
      </c>
      <c r="T81" s="58">
        <f t="shared" si="58"/>
        <v>1944.7727978025237</v>
      </c>
      <c r="U81" s="61">
        <f>O81*0.75</f>
        <v>19059.756054776892</v>
      </c>
      <c r="V81" s="58">
        <f>O81*0.25</f>
        <v>6353.2520182589642</v>
      </c>
      <c r="W81" s="62">
        <v>0</v>
      </c>
      <c r="X81" s="63">
        <f>P81*W81</f>
        <v>0</v>
      </c>
      <c r="Y81" s="61">
        <v>6653.8234241670507</v>
      </c>
      <c r="Z81" s="61">
        <v>0</v>
      </c>
      <c r="AA81" s="61">
        <f>(S81*45)/12</f>
        <v>6353.2520182589642</v>
      </c>
      <c r="AB81" s="61">
        <v>0</v>
      </c>
      <c r="AC81" s="61">
        <v>0</v>
      </c>
      <c r="AD81" s="61">
        <v>0</v>
      </c>
      <c r="AE81" s="61">
        <v>0</v>
      </c>
      <c r="AF81" s="81">
        <f>P81*0.0833</f>
        <v>4233.8071449677736</v>
      </c>
      <c r="AG81" s="61">
        <f>(P81+AA81+AB81)*0.03</f>
        <v>1715.3780449299204</v>
      </c>
      <c r="AH81" s="64"/>
      <c r="AI81" s="64"/>
      <c r="AJ81" s="67">
        <v>2</v>
      </c>
      <c r="AK81" s="73" t="s">
        <v>42</v>
      </c>
      <c r="AL81" s="67">
        <v>6146</v>
      </c>
      <c r="AM81" s="73" t="s">
        <v>145</v>
      </c>
      <c r="AN81" s="72" t="s">
        <v>146</v>
      </c>
      <c r="AO81" s="138">
        <f>Q81*12</f>
        <v>457434.14531464537</v>
      </c>
      <c r="AP81" s="65">
        <f>R81*12</f>
        <v>152478.04843821513</v>
      </c>
      <c r="AQ81" s="65">
        <f t="shared" si="117"/>
        <v>0</v>
      </c>
      <c r="AR81" s="65">
        <f t="shared" si="117"/>
        <v>79845.881090004608</v>
      </c>
      <c r="AS81" s="65">
        <f t="shared" si="117"/>
        <v>0</v>
      </c>
      <c r="AT81" s="65">
        <f t="shared" si="117"/>
        <v>76239.024219107567</v>
      </c>
      <c r="AU81" s="65">
        <f t="shared" si="117"/>
        <v>0</v>
      </c>
      <c r="AV81" s="65">
        <f t="shared" si="117"/>
        <v>0</v>
      </c>
      <c r="AW81" s="65">
        <f t="shared" si="117"/>
        <v>0</v>
      </c>
      <c r="AX81" s="65">
        <f t="shared" si="117"/>
        <v>0</v>
      </c>
      <c r="AY81" s="65">
        <f t="shared" si="117"/>
        <v>50805.685739613284</v>
      </c>
      <c r="AZ81" s="65">
        <f t="shared" si="117"/>
        <v>20584.536539159046</v>
      </c>
      <c r="BB81" s="64"/>
      <c r="BC81" s="66"/>
      <c r="BD81" s="66"/>
      <c r="BE81" s="66"/>
    </row>
    <row r="82" spans="1:177" s="96" customFormat="1" ht="21" customHeight="1" x14ac:dyDescent="0.2">
      <c r="A82" s="50"/>
      <c r="B82" s="455" t="s">
        <v>99</v>
      </c>
      <c r="C82" s="456"/>
      <c r="D82" s="456"/>
      <c r="E82" s="143">
        <v>2</v>
      </c>
      <c r="F82" s="166" t="s">
        <v>65</v>
      </c>
      <c r="G82" s="139"/>
      <c r="H82" s="89"/>
      <c r="I82" s="91">
        <f>SUM(I80:I81)</f>
        <v>36223.155727981692</v>
      </c>
      <c r="J82" s="91">
        <f t="shared" ref="J82:AG82" si="118">SUM(J80:J81)</f>
        <v>0</v>
      </c>
      <c r="K82" s="91">
        <f t="shared" si="118"/>
        <v>0</v>
      </c>
      <c r="L82" s="140">
        <f t="shared" si="118"/>
        <v>0</v>
      </c>
      <c r="M82" s="91">
        <f t="shared" si="118"/>
        <v>8.0000000000000004E-4</v>
      </c>
      <c r="N82" s="91">
        <f t="shared" si="118"/>
        <v>1448.9262291192676</v>
      </c>
      <c r="O82" s="91">
        <f t="shared" si="118"/>
        <v>37672.081957100963</v>
      </c>
      <c r="P82" s="91">
        <f t="shared" si="118"/>
        <v>75344.163914201927</v>
      </c>
      <c r="Q82" s="91">
        <f t="shared" si="118"/>
        <v>56508.122935651438</v>
      </c>
      <c r="R82" s="91">
        <f t="shared" si="118"/>
        <v>18836.040978550482</v>
      </c>
      <c r="S82" s="91">
        <f t="shared" si="118"/>
        <v>2511.4721304733976</v>
      </c>
      <c r="T82" s="91">
        <f t="shared" si="118"/>
        <v>2882.9188585704123</v>
      </c>
      <c r="U82" s="141">
        <f t="shared" si="118"/>
        <v>28254.061467825719</v>
      </c>
      <c r="V82" s="91">
        <f t="shared" si="118"/>
        <v>9418.0204892752408</v>
      </c>
      <c r="W82" s="91">
        <f t="shared" si="118"/>
        <v>0</v>
      </c>
      <c r="X82" s="91">
        <f t="shared" si="118"/>
        <v>0</v>
      </c>
      <c r="Y82" s="91">
        <f t="shared" si="118"/>
        <v>8935.5067446215107</v>
      </c>
      <c r="Z82" s="91">
        <f t="shared" si="118"/>
        <v>0</v>
      </c>
      <c r="AA82" s="91">
        <f t="shared" si="118"/>
        <v>9418.0204892752408</v>
      </c>
      <c r="AB82" s="91">
        <f t="shared" si="118"/>
        <v>612.95369420325517</v>
      </c>
      <c r="AC82" s="91">
        <f t="shared" si="118"/>
        <v>3553.3905408803544</v>
      </c>
      <c r="AD82" s="91">
        <f t="shared" si="118"/>
        <v>2458.9277325756748</v>
      </c>
      <c r="AE82" s="91">
        <f t="shared" si="118"/>
        <v>1454.1263941902278</v>
      </c>
      <c r="AF82" s="91">
        <f t="shared" si="118"/>
        <v>4233.8071449677736</v>
      </c>
      <c r="AG82" s="91">
        <f t="shared" si="118"/>
        <v>2561.2541429304124</v>
      </c>
      <c r="AH82" s="92"/>
      <c r="AI82" s="92"/>
      <c r="AJ82" s="455" t="s">
        <v>99</v>
      </c>
      <c r="AK82" s="456"/>
      <c r="AL82" s="456"/>
      <c r="AM82" s="143">
        <v>2</v>
      </c>
      <c r="AN82" s="166" t="s">
        <v>65</v>
      </c>
      <c r="AO82" s="144">
        <f>SUM(AO80:AO81)</f>
        <v>678097.47522781719</v>
      </c>
      <c r="AP82" s="144">
        <f t="shared" ref="AP82:AZ82" si="119">SUM(AP80:AP81)</f>
        <v>226032.49174260575</v>
      </c>
      <c r="AQ82" s="144">
        <f t="shared" si="119"/>
        <v>0</v>
      </c>
      <c r="AR82" s="144">
        <f t="shared" si="119"/>
        <v>107226.08093545813</v>
      </c>
      <c r="AS82" s="144">
        <f t="shared" si="119"/>
        <v>0</v>
      </c>
      <c r="AT82" s="144">
        <f t="shared" si="119"/>
        <v>113016.24587130288</v>
      </c>
      <c r="AU82" s="144">
        <f t="shared" si="119"/>
        <v>7355.4443304390625</v>
      </c>
      <c r="AV82" s="144">
        <f t="shared" si="119"/>
        <v>42640.686490564251</v>
      </c>
      <c r="AW82" s="144">
        <f t="shared" si="119"/>
        <v>29507.132790908097</v>
      </c>
      <c r="AX82" s="144">
        <f t="shared" si="119"/>
        <v>17449.516730282732</v>
      </c>
      <c r="AY82" s="144">
        <f t="shared" si="119"/>
        <v>50805.685739613284</v>
      </c>
      <c r="AZ82" s="144">
        <f t="shared" si="119"/>
        <v>30735.049715164951</v>
      </c>
      <c r="BA82" s="94"/>
      <c r="BB82" s="92"/>
      <c r="BC82" s="95"/>
      <c r="BD82" s="95"/>
      <c r="BE82" s="95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  <c r="FP82" s="50"/>
      <c r="FQ82" s="50"/>
      <c r="FR82" s="50"/>
      <c r="FS82" s="50"/>
      <c r="FT82" s="50"/>
      <c r="FU82" s="50"/>
    </row>
    <row r="83" spans="1:177" ht="21" customHeight="1" x14ac:dyDescent="0.2">
      <c r="B83" s="457" t="s">
        <v>101</v>
      </c>
      <c r="C83" s="458"/>
      <c r="D83" s="458"/>
      <c r="E83" s="76">
        <v>2</v>
      </c>
      <c r="F83" s="122" t="s">
        <v>147</v>
      </c>
      <c r="G83" s="168"/>
      <c r="H83" s="147"/>
      <c r="I83" s="57">
        <f>I82</f>
        <v>36223.155727981692</v>
      </c>
      <c r="J83" s="57">
        <f t="shared" ref="J83:AG83" si="120">J82</f>
        <v>0</v>
      </c>
      <c r="K83" s="57">
        <f t="shared" si="120"/>
        <v>0</v>
      </c>
      <c r="L83" s="74">
        <f t="shared" si="120"/>
        <v>0</v>
      </c>
      <c r="M83" s="57">
        <f t="shared" si="120"/>
        <v>8.0000000000000004E-4</v>
      </c>
      <c r="N83" s="57">
        <f t="shared" si="120"/>
        <v>1448.9262291192676</v>
      </c>
      <c r="O83" s="57">
        <f t="shared" si="120"/>
        <v>37672.081957100963</v>
      </c>
      <c r="P83" s="57">
        <f t="shared" si="120"/>
        <v>75344.163914201927</v>
      </c>
      <c r="Q83" s="57">
        <f t="shared" si="120"/>
        <v>56508.122935651438</v>
      </c>
      <c r="R83" s="57">
        <f t="shared" si="120"/>
        <v>18836.040978550482</v>
      </c>
      <c r="S83" s="57">
        <f t="shared" si="120"/>
        <v>2511.4721304733976</v>
      </c>
      <c r="T83" s="57">
        <f t="shared" si="120"/>
        <v>2882.9188585704123</v>
      </c>
      <c r="U83" s="81">
        <f t="shared" si="120"/>
        <v>28254.061467825719</v>
      </c>
      <c r="V83" s="57">
        <f t="shared" si="120"/>
        <v>9418.0204892752408</v>
      </c>
      <c r="W83" s="57">
        <f t="shared" si="120"/>
        <v>0</v>
      </c>
      <c r="X83" s="57">
        <f t="shared" si="120"/>
        <v>0</v>
      </c>
      <c r="Y83" s="57">
        <f t="shared" si="120"/>
        <v>8935.5067446215107</v>
      </c>
      <c r="Z83" s="57">
        <f t="shared" si="120"/>
        <v>0</v>
      </c>
      <c r="AA83" s="57">
        <f t="shared" si="120"/>
        <v>9418.0204892752408</v>
      </c>
      <c r="AB83" s="57">
        <f t="shared" si="120"/>
        <v>612.95369420325517</v>
      </c>
      <c r="AC83" s="57">
        <f t="shared" si="120"/>
        <v>3553.3905408803544</v>
      </c>
      <c r="AD83" s="57">
        <f t="shared" si="120"/>
        <v>2458.9277325756748</v>
      </c>
      <c r="AE83" s="57">
        <f t="shared" si="120"/>
        <v>1454.1263941902278</v>
      </c>
      <c r="AF83" s="57">
        <f t="shared" si="120"/>
        <v>4233.8071449677736</v>
      </c>
      <c r="AG83" s="57">
        <f t="shared" si="120"/>
        <v>2561.2541429304124</v>
      </c>
      <c r="AH83" s="92">
        <f>Q83+R83-Y83+Z83+X83+AA83+AB83+AC83+AD83+AE83+AF83+AG83</f>
        <v>90701.137308603356</v>
      </c>
      <c r="AI83" s="92">
        <f>AH83*12</f>
        <v>1088413.6477032402</v>
      </c>
      <c r="AJ83" s="457" t="s">
        <v>101</v>
      </c>
      <c r="AK83" s="458"/>
      <c r="AL83" s="458"/>
      <c r="AM83" s="76">
        <v>2</v>
      </c>
      <c r="AN83" s="122" t="s">
        <v>147</v>
      </c>
      <c r="AO83" s="148">
        <f>AO82</f>
        <v>678097.47522781719</v>
      </c>
      <c r="AP83" s="149">
        <f t="shared" ref="AP83:AZ83" si="121">AP82</f>
        <v>226032.49174260575</v>
      </c>
      <c r="AQ83" s="149">
        <f t="shared" si="121"/>
        <v>0</v>
      </c>
      <c r="AR83" s="149">
        <f t="shared" si="121"/>
        <v>107226.08093545813</v>
      </c>
      <c r="AS83" s="149">
        <f t="shared" si="121"/>
        <v>0</v>
      </c>
      <c r="AT83" s="149">
        <f t="shared" si="121"/>
        <v>113016.24587130288</v>
      </c>
      <c r="AU83" s="149">
        <f t="shared" si="121"/>
        <v>7355.4443304390625</v>
      </c>
      <c r="AV83" s="149">
        <f t="shared" si="121"/>
        <v>42640.686490564251</v>
      </c>
      <c r="AW83" s="149">
        <f t="shared" si="121"/>
        <v>29507.132790908097</v>
      </c>
      <c r="AX83" s="149">
        <f t="shared" si="121"/>
        <v>17449.516730282732</v>
      </c>
      <c r="AY83" s="149">
        <f t="shared" si="121"/>
        <v>50805.685739613284</v>
      </c>
      <c r="AZ83" s="149">
        <f t="shared" si="121"/>
        <v>30735.049715164951</v>
      </c>
      <c r="BA83" s="94"/>
      <c r="BB83" s="92">
        <f>AO83+AP83+AQ83-AR83+AS83+AU83+AV83+AT83+AW83+AX83+AY83+AZ83</f>
        <v>1088413.6477032402</v>
      </c>
      <c r="BC83" s="95"/>
      <c r="BD83" s="95"/>
      <c r="BE83" s="95"/>
    </row>
    <row r="84" spans="1:177" ht="21" customHeight="1" x14ac:dyDescent="0.2">
      <c r="B84" s="457" t="s">
        <v>103</v>
      </c>
      <c r="C84" s="458"/>
      <c r="D84" s="458"/>
      <c r="E84" s="76">
        <f>E82-E83</f>
        <v>0</v>
      </c>
      <c r="F84" s="76"/>
      <c r="G84" s="479"/>
      <c r="H84" s="479"/>
      <c r="I84" s="479"/>
      <c r="J84" s="479"/>
      <c r="K84" s="479"/>
      <c r="L84" s="479"/>
      <c r="M84" s="479"/>
      <c r="N84" s="479"/>
      <c r="O84" s="479"/>
      <c r="P84" s="479"/>
      <c r="Q84" s="479"/>
      <c r="R84" s="479"/>
      <c r="S84" s="479"/>
      <c r="T84" s="479"/>
      <c r="U84" s="479"/>
      <c r="V84" s="479"/>
      <c r="W84" s="479"/>
      <c r="X84" s="479"/>
      <c r="Y84" s="479"/>
      <c r="Z84" s="479"/>
      <c r="AA84" s="479"/>
      <c r="AB84" s="479"/>
      <c r="AC84" s="479"/>
      <c r="AD84" s="479"/>
      <c r="AE84" s="479"/>
      <c r="AF84" s="479"/>
      <c r="AG84" s="480"/>
      <c r="AH84" s="92"/>
      <c r="AI84" s="92"/>
      <c r="AJ84" s="457" t="s">
        <v>103</v>
      </c>
      <c r="AK84" s="458"/>
      <c r="AL84" s="458"/>
      <c r="AM84" s="76">
        <f>AM82-AM83</f>
        <v>0</v>
      </c>
      <c r="AN84" s="76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1"/>
      <c r="BA84" s="152"/>
      <c r="BB84" s="92"/>
      <c r="BC84" s="95"/>
      <c r="BD84" s="95"/>
      <c r="BE84" s="95"/>
    </row>
    <row r="85" spans="1:177" ht="21" customHeight="1" x14ac:dyDescent="0.2">
      <c r="B85" s="5"/>
      <c r="C85" s="94"/>
      <c r="D85" s="5"/>
      <c r="E85" s="94"/>
      <c r="G85" s="27"/>
      <c r="H85" s="27"/>
      <c r="I85" s="95"/>
      <c r="J85" s="95"/>
      <c r="K85" s="95"/>
      <c r="L85" s="27"/>
      <c r="M85" s="128"/>
      <c r="N85" s="66"/>
      <c r="O85" s="95"/>
      <c r="P85" s="66"/>
      <c r="Q85" s="66"/>
      <c r="R85" s="66"/>
      <c r="S85" s="66"/>
      <c r="T85" s="95"/>
      <c r="U85" s="66"/>
      <c r="V85" s="95"/>
      <c r="W85" s="129"/>
      <c r="X85" s="130"/>
      <c r="Y85" s="66"/>
      <c r="Z85" s="66"/>
      <c r="AA85" s="66"/>
      <c r="AB85" s="66"/>
      <c r="AC85" s="66"/>
      <c r="AD85" s="66"/>
      <c r="AE85" s="66"/>
      <c r="AF85" s="66"/>
      <c r="AG85" s="66"/>
      <c r="AH85" s="64"/>
      <c r="AI85" s="64"/>
      <c r="AJ85" s="5"/>
      <c r="AK85" s="94"/>
      <c r="AL85" s="5"/>
      <c r="AM85" s="94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2"/>
      <c r="BB85" s="92"/>
      <c r="BC85" s="95"/>
      <c r="BD85" s="95"/>
      <c r="BE85" s="95"/>
    </row>
    <row r="86" spans="1:177" ht="21" customHeight="1" thickBot="1" x14ac:dyDescent="0.25">
      <c r="B86" s="5"/>
      <c r="C86" s="94"/>
      <c r="D86" s="5"/>
      <c r="E86" s="94"/>
      <c r="G86" s="27"/>
      <c r="H86" s="27"/>
      <c r="I86" s="95"/>
      <c r="J86" s="95"/>
      <c r="K86" s="95"/>
      <c r="L86" s="27"/>
      <c r="M86" s="128"/>
      <c r="N86" s="66"/>
      <c r="O86" s="95"/>
      <c r="P86" s="66"/>
      <c r="Q86" s="66"/>
      <c r="R86" s="66"/>
      <c r="S86" s="66"/>
      <c r="T86" s="95"/>
      <c r="U86" s="66"/>
      <c r="V86" s="95"/>
      <c r="W86" s="129"/>
      <c r="X86" s="130"/>
      <c r="Y86" s="66"/>
      <c r="Z86" s="66"/>
      <c r="AA86" s="66"/>
      <c r="AB86" s="66"/>
      <c r="AC86" s="66"/>
      <c r="AD86" s="66"/>
      <c r="AE86" s="66"/>
      <c r="AF86" s="66"/>
      <c r="AG86" s="66"/>
      <c r="AH86" s="64"/>
      <c r="AI86" s="64"/>
      <c r="AJ86" s="5"/>
      <c r="AK86" s="94"/>
      <c r="AL86" s="5"/>
      <c r="AM86" s="94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2"/>
      <c r="BB86" s="92"/>
      <c r="BC86" s="95"/>
      <c r="BD86" s="95"/>
      <c r="BE86" s="95"/>
    </row>
    <row r="87" spans="1:177" s="134" customFormat="1" ht="21" customHeight="1" thickBot="1" x14ac:dyDescent="0.25">
      <c r="A87" s="94"/>
      <c r="B87" s="476" t="s">
        <v>148</v>
      </c>
      <c r="C87" s="477"/>
      <c r="D87" s="477"/>
      <c r="E87" s="478"/>
      <c r="F87" s="466" t="s">
        <v>4</v>
      </c>
      <c r="G87" s="7" t="s">
        <v>5</v>
      </c>
      <c r="H87" s="8" t="s">
        <v>6</v>
      </c>
      <c r="I87" s="9" t="s">
        <v>7</v>
      </c>
      <c r="J87" s="9"/>
      <c r="K87" s="9"/>
      <c r="L87" s="9"/>
      <c r="M87" s="10">
        <v>4.0000000000000002E-4</v>
      </c>
      <c r="N87" s="11" t="s">
        <v>8</v>
      </c>
      <c r="O87" s="12" t="s">
        <v>9</v>
      </c>
      <c r="P87" s="12" t="s">
        <v>10</v>
      </c>
      <c r="Q87" s="13" t="s">
        <v>11</v>
      </c>
      <c r="R87" s="12" t="s">
        <v>12</v>
      </c>
      <c r="S87" s="14" t="s">
        <v>11</v>
      </c>
      <c r="T87" s="15" t="s">
        <v>13</v>
      </c>
      <c r="U87" s="16" t="s">
        <v>11</v>
      </c>
      <c r="V87" s="17" t="s">
        <v>12</v>
      </c>
      <c r="W87" s="18" t="s">
        <v>14</v>
      </c>
      <c r="X87" s="19" t="s">
        <v>15</v>
      </c>
      <c r="Y87" s="15" t="s">
        <v>16</v>
      </c>
      <c r="Z87" s="13" t="s">
        <v>17</v>
      </c>
      <c r="AA87" s="20" t="s">
        <v>18</v>
      </c>
      <c r="AB87" s="17" t="s">
        <v>19</v>
      </c>
      <c r="AC87" s="13" t="s">
        <v>20</v>
      </c>
      <c r="AD87" s="13" t="s">
        <v>21</v>
      </c>
      <c r="AE87" s="13" t="s">
        <v>22</v>
      </c>
      <c r="AF87" s="17" t="s">
        <v>23</v>
      </c>
      <c r="AG87" s="12" t="s">
        <v>24</v>
      </c>
      <c r="AH87" s="132"/>
      <c r="AI87" s="132"/>
      <c r="AJ87" s="476" t="s">
        <v>148</v>
      </c>
      <c r="AK87" s="477"/>
      <c r="AL87" s="477"/>
      <c r="AM87" s="478"/>
      <c r="AN87" s="466" t="s">
        <v>4</v>
      </c>
      <c r="AO87" s="22" t="s">
        <v>11</v>
      </c>
      <c r="AP87" s="12" t="s">
        <v>12</v>
      </c>
      <c r="AQ87" s="23" t="s">
        <v>15</v>
      </c>
      <c r="AR87" s="22" t="s">
        <v>16</v>
      </c>
      <c r="AS87" s="22" t="s">
        <v>25</v>
      </c>
      <c r="AT87" s="20" t="s">
        <v>26</v>
      </c>
      <c r="AU87" s="24" t="s">
        <v>27</v>
      </c>
      <c r="AV87" s="23" t="s">
        <v>20</v>
      </c>
      <c r="AW87" s="22" t="s">
        <v>28</v>
      </c>
      <c r="AX87" s="22" t="s">
        <v>29</v>
      </c>
      <c r="AY87" s="25" t="s">
        <v>23</v>
      </c>
      <c r="AZ87" s="24" t="s">
        <v>24</v>
      </c>
      <c r="BA87" s="94"/>
      <c r="BB87" s="92"/>
      <c r="BC87" s="95"/>
      <c r="BD87" s="95"/>
      <c r="BE87" s="95"/>
      <c r="BF87" s="94"/>
      <c r="BG87" s="94"/>
      <c r="BH87" s="94"/>
      <c r="BI87" s="94"/>
      <c r="BJ87" s="94"/>
      <c r="BK87" s="94"/>
      <c r="BL87" s="94"/>
      <c r="BM87" s="94"/>
      <c r="BN87" s="94"/>
      <c r="BO87" s="94"/>
      <c r="BP87" s="94"/>
      <c r="BQ87" s="94"/>
      <c r="BR87" s="94"/>
      <c r="BS87" s="94"/>
      <c r="BT87" s="94"/>
      <c r="BU87" s="94"/>
      <c r="BV87" s="94"/>
      <c r="BW87" s="94"/>
      <c r="BX87" s="94"/>
      <c r="BY87" s="94"/>
      <c r="BZ87" s="94"/>
      <c r="CA87" s="94"/>
      <c r="CB87" s="94"/>
      <c r="CC87" s="94"/>
      <c r="CD87" s="94"/>
      <c r="CE87" s="94"/>
      <c r="CF87" s="94"/>
      <c r="CG87" s="94"/>
      <c r="CH87" s="94"/>
      <c r="CI87" s="94"/>
      <c r="CJ87" s="94"/>
      <c r="CK87" s="94"/>
      <c r="CL87" s="94"/>
      <c r="CM87" s="94"/>
      <c r="CN87" s="94"/>
      <c r="CO87" s="94"/>
      <c r="CP87" s="94"/>
      <c r="CQ87" s="94"/>
      <c r="CR87" s="94"/>
      <c r="CS87" s="94"/>
      <c r="CT87" s="94"/>
      <c r="CU87" s="94"/>
      <c r="CV87" s="94"/>
      <c r="CW87" s="94"/>
      <c r="CX87" s="94"/>
      <c r="CY87" s="94"/>
      <c r="CZ87" s="94"/>
      <c r="DA87" s="94"/>
      <c r="DB87" s="94"/>
      <c r="DC87" s="94"/>
      <c r="DD87" s="94"/>
      <c r="DE87" s="94"/>
      <c r="DF87" s="94"/>
      <c r="DG87" s="94"/>
      <c r="DH87" s="94"/>
      <c r="DI87" s="94"/>
      <c r="DJ87" s="94"/>
      <c r="DK87" s="94"/>
      <c r="DL87" s="94"/>
      <c r="DM87" s="94"/>
      <c r="DN87" s="94"/>
      <c r="DO87" s="94"/>
      <c r="DP87" s="94"/>
      <c r="DQ87" s="94"/>
      <c r="DR87" s="94"/>
      <c r="DS87" s="94"/>
      <c r="DT87" s="94"/>
      <c r="DU87" s="94"/>
      <c r="DV87" s="94"/>
      <c r="DW87" s="94"/>
      <c r="DX87" s="94"/>
      <c r="DY87" s="94"/>
      <c r="DZ87" s="94"/>
      <c r="EA87" s="94"/>
      <c r="EB87" s="94"/>
      <c r="EC87" s="94"/>
      <c r="ED87" s="94"/>
      <c r="EE87" s="94"/>
      <c r="EF87" s="94"/>
      <c r="EG87" s="94"/>
      <c r="EH87" s="94"/>
      <c r="EI87" s="94"/>
      <c r="EJ87" s="94"/>
      <c r="EK87" s="94"/>
      <c r="EL87" s="94"/>
      <c r="EM87" s="94"/>
      <c r="EN87" s="94"/>
      <c r="EO87" s="94"/>
      <c r="EP87" s="94"/>
      <c r="EQ87" s="94"/>
      <c r="ER87" s="94"/>
      <c r="ES87" s="94"/>
      <c r="ET87" s="94"/>
      <c r="EU87" s="94"/>
      <c r="EV87" s="94"/>
      <c r="EW87" s="94"/>
      <c r="EX87" s="94"/>
      <c r="EY87" s="94"/>
      <c r="EZ87" s="94"/>
      <c r="FA87" s="94"/>
      <c r="FB87" s="94"/>
      <c r="FC87" s="94"/>
      <c r="FD87" s="94"/>
      <c r="FE87" s="94"/>
      <c r="FF87" s="94"/>
      <c r="FG87" s="94"/>
      <c r="FH87" s="94"/>
      <c r="FI87" s="94"/>
      <c r="FJ87" s="94"/>
      <c r="FK87" s="94"/>
      <c r="FL87" s="94"/>
      <c r="FM87" s="94"/>
      <c r="FN87" s="94"/>
      <c r="FO87" s="94"/>
      <c r="FP87" s="94"/>
      <c r="FQ87" s="94"/>
      <c r="FR87" s="94"/>
      <c r="FS87" s="94"/>
      <c r="FT87" s="94"/>
      <c r="FU87" s="94"/>
    </row>
    <row r="88" spans="1:177" s="134" customFormat="1" ht="21" customHeight="1" thickBot="1" x14ac:dyDescent="0.25">
      <c r="A88" s="94"/>
      <c r="B88" s="30" t="s">
        <v>30</v>
      </c>
      <c r="C88" s="6" t="s">
        <v>31</v>
      </c>
      <c r="D88" s="30" t="s">
        <v>105</v>
      </c>
      <c r="E88" s="32" t="s">
        <v>32</v>
      </c>
      <c r="F88" s="467"/>
      <c r="G88" s="33" t="s">
        <v>33</v>
      </c>
      <c r="H88" s="34">
        <v>45657</v>
      </c>
      <c r="I88" s="35">
        <v>2023</v>
      </c>
      <c r="J88" s="35"/>
      <c r="K88" s="35"/>
      <c r="L88" s="35"/>
      <c r="M88" s="36"/>
      <c r="N88" s="37"/>
      <c r="O88" s="38">
        <v>2024</v>
      </c>
      <c r="P88" s="39" t="s">
        <v>34</v>
      </c>
      <c r="Q88" s="40" t="s">
        <v>35</v>
      </c>
      <c r="R88" s="39" t="s">
        <v>36</v>
      </c>
      <c r="S88" s="41" t="s">
        <v>37</v>
      </c>
      <c r="T88" s="42" t="s">
        <v>38</v>
      </c>
      <c r="U88" s="43" t="s">
        <v>39</v>
      </c>
      <c r="V88" s="41" t="s">
        <v>39</v>
      </c>
      <c r="W88" s="44" t="s">
        <v>15</v>
      </c>
      <c r="X88" s="45" t="s">
        <v>35</v>
      </c>
      <c r="Y88" s="42" t="s">
        <v>35</v>
      </c>
      <c r="Z88" s="40" t="s">
        <v>35</v>
      </c>
      <c r="AA88" s="46" t="s">
        <v>35</v>
      </c>
      <c r="AB88" s="41" t="s">
        <v>35</v>
      </c>
      <c r="AC88" s="40" t="s">
        <v>35</v>
      </c>
      <c r="AD88" s="40" t="s">
        <v>35</v>
      </c>
      <c r="AE88" s="40" t="s">
        <v>35</v>
      </c>
      <c r="AF88" s="41" t="s">
        <v>35</v>
      </c>
      <c r="AG88" s="40" t="s">
        <v>35</v>
      </c>
      <c r="AH88" s="135"/>
      <c r="AI88" s="135"/>
      <c r="AJ88" s="30" t="s">
        <v>30</v>
      </c>
      <c r="AK88" s="6" t="s">
        <v>31</v>
      </c>
      <c r="AL88" s="30" t="s">
        <v>105</v>
      </c>
      <c r="AM88" s="32" t="s">
        <v>32</v>
      </c>
      <c r="AN88" s="467"/>
      <c r="AO88" s="40" t="s">
        <v>40</v>
      </c>
      <c r="AP88" s="39" t="s">
        <v>41</v>
      </c>
      <c r="AQ88" s="48" t="s">
        <v>40</v>
      </c>
      <c r="AR88" s="49" t="s">
        <v>40</v>
      </c>
      <c r="AS88" s="49" t="s">
        <v>40</v>
      </c>
      <c r="AT88" s="46" t="s">
        <v>40</v>
      </c>
      <c r="AU88" s="49" t="s">
        <v>40</v>
      </c>
      <c r="AV88" s="48" t="s">
        <v>40</v>
      </c>
      <c r="AW88" s="49" t="s">
        <v>40</v>
      </c>
      <c r="AX88" s="49" t="s">
        <v>40</v>
      </c>
      <c r="AY88" s="48" t="s">
        <v>40</v>
      </c>
      <c r="AZ88" s="49" t="s">
        <v>40</v>
      </c>
      <c r="BA88" s="94"/>
      <c r="BB88" s="92"/>
      <c r="BC88" s="95"/>
      <c r="BD88" s="95"/>
      <c r="BE88" s="95"/>
      <c r="BF88" s="94"/>
      <c r="BG88" s="94"/>
      <c r="BH88" s="94"/>
      <c r="BI88" s="94"/>
      <c r="BJ88" s="94"/>
      <c r="BK88" s="94"/>
      <c r="BL88" s="94"/>
      <c r="BM88" s="94"/>
      <c r="BN88" s="94"/>
      <c r="BO88" s="94"/>
      <c r="BP88" s="94"/>
      <c r="BQ88" s="94"/>
      <c r="BR88" s="94"/>
      <c r="BS88" s="94"/>
      <c r="BT88" s="94"/>
      <c r="BU88" s="94"/>
      <c r="BV88" s="94"/>
      <c r="BW88" s="94"/>
      <c r="BX88" s="94"/>
      <c r="BY88" s="94"/>
      <c r="BZ88" s="94"/>
      <c r="CA88" s="94"/>
      <c r="CB88" s="94"/>
      <c r="CC88" s="94"/>
      <c r="CD88" s="94"/>
      <c r="CE88" s="94"/>
      <c r="CF88" s="94"/>
      <c r="CG88" s="94"/>
      <c r="CH88" s="94"/>
      <c r="CI88" s="94"/>
      <c r="CJ88" s="94"/>
      <c r="CK88" s="94"/>
      <c r="CL88" s="94"/>
      <c r="CM88" s="94"/>
      <c r="CN88" s="94"/>
      <c r="CO88" s="94"/>
      <c r="CP88" s="94"/>
      <c r="CQ88" s="94"/>
      <c r="CR88" s="94"/>
      <c r="CS88" s="94"/>
      <c r="CT88" s="94"/>
      <c r="CU88" s="94"/>
      <c r="CV88" s="94"/>
      <c r="CW88" s="94"/>
      <c r="CX88" s="94"/>
      <c r="CY88" s="94"/>
      <c r="CZ88" s="94"/>
      <c r="DA88" s="94"/>
      <c r="DB88" s="94"/>
      <c r="DC88" s="94"/>
      <c r="DD88" s="94"/>
      <c r="DE88" s="94"/>
      <c r="DF88" s="94"/>
      <c r="DG88" s="94"/>
      <c r="DH88" s="94"/>
      <c r="DI88" s="94"/>
      <c r="DJ88" s="94"/>
      <c r="DK88" s="94"/>
      <c r="DL88" s="94"/>
      <c r="DM88" s="94"/>
      <c r="DN88" s="94"/>
      <c r="DO88" s="94"/>
      <c r="DP88" s="94"/>
      <c r="DQ88" s="94"/>
      <c r="DR88" s="94"/>
      <c r="DS88" s="94"/>
      <c r="DT88" s="94"/>
      <c r="DU88" s="94"/>
      <c r="DV88" s="94"/>
      <c r="DW88" s="94"/>
      <c r="DX88" s="94"/>
      <c r="DY88" s="94"/>
      <c r="DZ88" s="94"/>
      <c r="EA88" s="94"/>
      <c r="EB88" s="94"/>
      <c r="EC88" s="94"/>
      <c r="ED88" s="94"/>
      <c r="EE88" s="94"/>
      <c r="EF88" s="94"/>
      <c r="EG88" s="94"/>
      <c r="EH88" s="94"/>
      <c r="EI88" s="94"/>
      <c r="EJ88" s="94"/>
      <c r="EK88" s="94"/>
      <c r="EL88" s="94"/>
      <c r="EM88" s="94"/>
      <c r="EN88" s="94"/>
      <c r="EO88" s="94"/>
      <c r="EP88" s="94"/>
      <c r="EQ88" s="94"/>
      <c r="ER88" s="94"/>
      <c r="ES88" s="94"/>
      <c r="ET88" s="94"/>
      <c r="EU88" s="94"/>
      <c r="EV88" s="94"/>
      <c r="EW88" s="94"/>
      <c r="EX88" s="94"/>
      <c r="EY88" s="94"/>
      <c r="EZ88" s="94"/>
      <c r="FA88" s="94"/>
      <c r="FB88" s="94"/>
      <c r="FC88" s="94"/>
      <c r="FD88" s="94"/>
      <c r="FE88" s="94"/>
      <c r="FF88" s="94"/>
      <c r="FG88" s="94"/>
      <c r="FH88" s="94"/>
      <c r="FI88" s="94"/>
      <c r="FJ88" s="94"/>
      <c r="FK88" s="94"/>
      <c r="FL88" s="94"/>
      <c r="FM88" s="94"/>
      <c r="FN88" s="94"/>
      <c r="FO88" s="94"/>
      <c r="FP88" s="94"/>
      <c r="FQ88" s="94"/>
      <c r="FR88" s="94"/>
      <c r="FS88" s="94"/>
      <c r="FT88" s="94"/>
      <c r="FU88" s="94"/>
    </row>
    <row r="89" spans="1:177" ht="21" customHeight="1" x14ac:dyDescent="0.2">
      <c r="B89" s="51">
        <v>1</v>
      </c>
      <c r="C89" s="77" t="s">
        <v>42</v>
      </c>
      <c r="D89" s="51">
        <v>5111</v>
      </c>
      <c r="E89" s="77" t="s">
        <v>149</v>
      </c>
      <c r="F89" s="72" t="s">
        <v>150</v>
      </c>
      <c r="G89" s="157">
        <v>44577</v>
      </c>
      <c r="H89" s="56" t="str">
        <f xml:space="preserve"> CONCATENATE(DATEDIF(J89,H$5,"Y")," AÑOS")</f>
        <v>124 AÑOS</v>
      </c>
      <c r="I89" s="57">
        <v>13300.401850246661</v>
      </c>
      <c r="J89" s="169"/>
      <c r="K89" s="58"/>
      <c r="L89" s="59"/>
      <c r="M89" s="60">
        <v>4.0000000000000002E-4</v>
      </c>
      <c r="N89" s="61">
        <f t="shared" ref="N89:N100" si="122">I89*0.04</f>
        <v>532.01607400986643</v>
      </c>
      <c r="O89" s="58">
        <f t="shared" ref="O89:O105" si="123">I89+N89</f>
        <v>13832.417924256528</v>
      </c>
      <c r="P89" s="61">
        <f t="shared" ref="P89:P105" si="124">O89*2</f>
        <v>27664.835848513056</v>
      </c>
      <c r="Q89" s="61">
        <f t="shared" ref="Q89:Q105" si="125">P89*0.75</f>
        <v>20748.626886384791</v>
      </c>
      <c r="R89" s="61">
        <f t="shared" ref="R89:R105" si="126">P89*0.25</f>
        <v>6916.2089621282639</v>
      </c>
      <c r="S89" s="61">
        <f t="shared" ref="S89:S105" si="127">(P89/30)</f>
        <v>922.16119495043517</v>
      </c>
      <c r="T89" s="58">
        <f t="shared" ref="T89:T105" si="128">S89*1.1479</f>
        <v>1058.5488356836045</v>
      </c>
      <c r="U89" s="61">
        <f t="shared" ref="U89:U105" si="129">O89*0.75</f>
        <v>10374.313443192395</v>
      </c>
      <c r="V89" s="58">
        <f t="shared" ref="V89:V105" si="130">O89*0.25</f>
        <v>3458.104481064132</v>
      </c>
      <c r="W89" s="62">
        <v>0</v>
      </c>
      <c r="X89" s="63">
        <f t="shared" ref="X89:X97" si="131">P89*W89</f>
        <v>0</v>
      </c>
      <c r="Y89" s="61">
        <v>2785.7827509317913</v>
      </c>
      <c r="Z89" s="61">
        <v>0</v>
      </c>
      <c r="AA89" s="61">
        <f t="shared" ref="AA89:AA105" si="132">(S89*45)/12</f>
        <v>3458.104481064132</v>
      </c>
      <c r="AB89" s="61">
        <f t="shared" ref="AB89:AB105" si="133">(S89*10)*(0.45*2)/12</f>
        <v>691.62089621282632</v>
      </c>
      <c r="AC89" s="61">
        <v>3939.0545113753387</v>
      </c>
      <c r="AD89" s="61">
        <v>2774.5094257685109</v>
      </c>
      <c r="AE89" s="61">
        <v>1640.7506953095869</v>
      </c>
      <c r="AF89" s="61">
        <v>0</v>
      </c>
      <c r="AG89" s="61">
        <f t="shared" ref="AG89:AG105" si="134">(P89+AA89+AB89)*0.03</f>
        <v>954.43683677370041</v>
      </c>
      <c r="AH89" s="64"/>
      <c r="AI89" s="64"/>
      <c r="AJ89" s="51">
        <v>1</v>
      </c>
      <c r="AK89" s="77" t="s">
        <v>42</v>
      </c>
      <c r="AL89" s="51">
        <v>5111</v>
      </c>
      <c r="AM89" s="77" t="s">
        <v>149</v>
      </c>
      <c r="AN89" s="72" t="s">
        <v>150</v>
      </c>
      <c r="AO89" s="65">
        <f>Q89*12</f>
        <v>248983.52263661748</v>
      </c>
      <c r="AP89" s="65">
        <f>R89*12</f>
        <v>82994.507545539163</v>
      </c>
      <c r="AQ89" s="65">
        <f t="shared" ref="AQ89:AZ90" si="135">X89*12</f>
        <v>0</v>
      </c>
      <c r="AR89" s="65">
        <f t="shared" si="135"/>
        <v>33429.393011181499</v>
      </c>
      <c r="AS89" s="65">
        <f t="shared" si="135"/>
        <v>0</v>
      </c>
      <c r="AT89" s="65">
        <f t="shared" si="135"/>
        <v>41497.253772769582</v>
      </c>
      <c r="AU89" s="65">
        <f t="shared" si="135"/>
        <v>8299.4507545539163</v>
      </c>
      <c r="AV89" s="65">
        <f t="shared" si="135"/>
        <v>47268.654136504061</v>
      </c>
      <c r="AW89" s="65">
        <f t="shared" si="135"/>
        <v>33294.113109222133</v>
      </c>
      <c r="AX89" s="65">
        <f t="shared" si="135"/>
        <v>19689.008343715042</v>
      </c>
      <c r="AY89" s="65">
        <f t="shared" si="135"/>
        <v>0</v>
      </c>
      <c r="AZ89" s="65">
        <f t="shared" si="135"/>
        <v>11453.242041284404</v>
      </c>
      <c r="BB89" s="64"/>
      <c r="BC89" s="66"/>
      <c r="BD89" s="66"/>
      <c r="BE89" s="66"/>
    </row>
    <row r="90" spans="1:177" ht="21" customHeight="1" x14ac:dyDescent="0.2">
      <c r="B90" s="67">
        <v>2</v>
      </c>
      <c r="C90" s="73" t="s">
        <v>42</v>
      </c>
      <c r="D90" s="67">
        <v>6044</v>
      </c>
      <c r="E90" s="72" t="s">
        <v>151</v>
      </c>
      <c r="F90" s="73" t="s">
        <v>152</v>
      </c>
      <c r="G90" s="55">
        <v>33234</v>
      </c>
      <c r="H90" s="56" t="str">
        <f xml:space="preserve"> CONCATENATE(DATEDIF(G90,H$5,"Y")," AÑOS")</f>
        <v>34 AÑOS</v>
      </c>
      <c r="I90" s="75">
        <v>12354.417098324728</v>
      </c>
      <c r="J90" s="170"/>
      <c r="K90" s="170"/>
      <c r="L90" s="74"/>
      <c r="M90" s="171">
        <v>4.0000000000000002E-4</v>
      </c>
      <c r="N90" s="61">
        <f t="shared" si="122"/>
        <v>494.17668393298914</v>
      </c>
      <c r="O90" s="58">
        <f t="shared" si="123"/>
        <v>12848.593782257716</v>
      </c>
      <c r="P90" s="61">
        <f t="shared" si="124"/>
        <v>25697.187564515432</v>
      </c>
      <c r="Q90" s="61">
        <f t="shared" si="125"/>
        <v>19272.890673386573</v>
      </c>
      <c r="R90" s="61">
        <f t="shared" si="126"/>
        <v>6424.2968911288581</v>
      </c>
      <c r="S90" s="61">
        <f t="shared" si="127"/>
        <v>856.57291881718106</v>
      </c>
      <c r="T90" s="58">
        <f t="shared" si="128"/>
        <v>983.26005351024207</v>
      </c>
      <c r="U90" s="61">
        <f t="shared" si="129"/>
        <v>9636.4453366932867</v>
      </c>
      <c r="V90" s="58">
        <f t="shared" si="130"/>
        <v>3212.148445564429</v>
      </c>
      <c r="W90" s="62">
        <v>0</v>
      </c>
      <c r="X90" s="63">
        <f t="shared" si="131"/>
        <v>0</v>
      </c>
      <c r="Y90" s="61">
        <v>2470.5654958353721</v>
      </c>
      <c r="Z90" s="61">
        <v>0</v>
      </c>
      <c r="AA90" s="61">
        <f t="shared" si="132"/>
        <v>3212.148445564429</v>
      </c>
      <c r="AB90" s="61">
        <f t="shared" si="133"/>
        <v>642.42968911288574</v>
      </c>
      <c r="AC90" s="61">
        <v>3697.895861277475</v>
      </c>
      <c r="AD90" s="61">
        <v>2577.1737632530198</v>
      </c>
      <c r="AE90" s="61">
        <v>1524.0530829408754</v>
      </c>
      <c r="AF90" s="61">
        <v>0</v>
      </c>
      <c r="AG90" s="61">
        <f t="shared" si="134"/>
        <v>886.55297097578239</v>
      </c>
      <c r="AH90" s="64"/>
      <c r="AI90" s="64"/>
      <c r="AJ90" s="67">
        <v>2</v>
      </c>
      <c r="AK90" s="73" t="s">
        <v>42</v>
      </c>
      <c r="AL90" s="67">
        <v>6044</v>
      </c>
      <c r="AM90" s="72" t="s">
        <v>151</v>
      </c>
      <c r="AN90" s="73" t="s">
        <v>152</v>
      </c>
      <c r="AO90" s="65">
        <f>Q90*12</f>
        <v>231274.68808063888</v>
      </c>
      <c r="AP90" s="65">
        <f>R90*12</f>
        <v>77091.562693546293</v>
      </c>
      <c r="AQ90" s="65">
        <f t="shared" si="135"/>
        <v>0</v>
      </c>
      <c r="AR90" s="65">
        <f t="shared" si="135"/>
        <v>29646.785950024467</v>
      </c>
      <c r="AS90" s="65">
        <f t="shared" si="135"/>
        <v>0</v>
      </c>
      <c r="AT90" s="65">
        <f t="shared" si="135"/>
        <v>38545.781346773147</v>
      </c>
      <c r="AU90" s="65">
        <f t="shared" si="135"/>
        <v>7709.1562693546293</v>
      </c>
      <c r="AV90" s="65">
        <f t="shared" si="135"/>
        <v>44374.7503353297</v>
      </c>
      <c r="AW90" s="65">
        <f t="shared" si="135"/>
        <v>30926.085159036236</v>
      </c>
      <c r="AX90" s="65">
        <f t="shared" si="135"/>
        <v>18288.636995290504</v>
      </c>
      <c r="AY90" s="65">
        <f t="shared" si="135"/>
        <v>0</v>
      </c>
      <c r="AZ90" s="65">
        <f t="shared" si="135"/>
        <v>10638.635651709388</v>
      </c>
      <c r="BB90" s="64"/>
      <c r="BC90" s="66"/>
      <c r="BD90" s="66"/>
      <c r="BE90" s="66"/>
    </row>
    <row r="91" spans="1:177" s="364" customFormat="1" ht="21" customHeight="1" x14ac:dyDescent="0.2">
      <c r="B91" s="369">
        <v>3</v>
      </c>
      <c r="C91" s="372" t="s">
        <v>42</v>
      </c>
      <c r="D91" s="365"/>
      <c r="E91" s="391" t="s">
        <v>55</v>
      </c>
      <c r="F91" s="372" t="s">
        <v>153</v>
      </c>
      <c r="G91" s="384"/>
      <c r="H91" s="56"/>
      <c r="I91" s="57">
        <v>4076.534985486393</v>
      </c>
      <c r="J91" s="58"/>
      <c r="K91" s="58"/>
      <c r="L91" s="59"/>
      <c r="M91" s="60">
        <v>4.0000000000000002E-4</v>
      </c>
      <c r="N91" s="61">
        <f t="shared" si="122"/>
        <v>163.06139941945571</v>
      </c>
      <c r="O91" s="58">
        <f t="shared" si="123"/>
        <v>4239.5963849058489</v>
      </c>
      <c r="P91" s="61">
        <f t="shared" si="124"/>
        <v>8479.1927698116979</v>
      </c>
      <c r="Q91" s="61">
        <f t="shared" si="125"/>
        <v>6359.3945773587729</v>
      </c>
      <c r="R91" s="61">
        <f t="shared" si="126"/>
        <v>2119.7981924529245</v>
      </c>
      <c r="S91" s="61">
        <f t="shared" si="127"/>
        <v>282.63975899372326</v>
      </c>
      <c r="T91" s="58">
        <f t="shared" si="128"/>
        <v>324.44217934889491</v>
      </c>
      <c r="U91" s="61">
        <f t="shared" si="129"/>
        <v>3179.6972886793865</v>
      </c>
      <c r="V91" s="58">
        <f t="shared" si="130"/>
        <v>1059.8990962264622</v>
      </c>
      <c r="W91" s="62">
        <v>0</v>
      </c>
      <c r="X91" s="63">
        <f t="shared" si="131"/>
        <v>0</v>
      </c>
      <c r="Y91" s="61">
        <v>128.74</v>
      </c>
      <c r="Z91" s="61">
        <v>0</v>
      </c>
      <c r="AA91" s="61">
        <f t="shared" si="132"/>
        <v>1059.8990962264622</v>
      </c>
      <c r="AB91" s="61">
        <f t="shared" si="133"/>
        <v>211.97981924529245</v>
      </c>
      <c r="AC91" s="61">
        <v>1591.968335240553</v>
      </c>
      <c r="AD91" s="61">
        <v>793.05024109147132</v>
      </c>
      <c r="AE91" s="61">
        <v>502.88537799078716</v>
      </c>
      <c r="AF91" s="61">
        <v>0</v>
      </c>
      <c r="AG91" s="61">
        <f t="shared" si="134"/>
        <v>292.53215055850353</v>
      </c>
      <c r="AH91" s="64"/>
      <c r="AI91" s="64"/>
      <c r="AJ91" s="369">
        <v>3</v>
      </c>
      <c r="AK91" s="372" t="s">
        <v>42</v>
      </c>
      <c r="AL91" s="365"/>
      <c r="AM91" s="391" t="s">
        <v>55</v>
      </c>
      <c r="AN91" s="372" t="s">
        <v>153</v>
      </c>
      <c r="AO91" s="368">
        <f>Q91*4.5</f>
        <v>28617.27559811448</v>
      </c>
      <c r="AP91" s="368">
        <f>R91*4.5</f>
        <v>9539.0918660381594</v>
      </c>
      <c r="AQ91" s="368">
        <f t="shared" ref="AQ91:AZ91" si="136">X91*4.5</f>
        <v>0</v>
      </c>
      <c r="AR91" s="368">
        <f t="shared" si="136"/>
        <v>579.33000000000004</v>
      </c>
      <c r="AS91" s="368">
        <f t="shared" si="136"/>
        <v>0</v>
      </c>
      <c r="AT91" s="368">
        <f t="shared" si="136"/>
        <v>4769.5459330190797</v>
      </c>
      <c r="AU91" s="368">
        <f t="shared" si="136"/>
        <v>953.90918660381601</v>
      </c>
      <c r="AV91" s="368">
        <f t="shared" si="136"/>
        <v>7163.8575085824887</v>
      </c>
      <c r="AW91" s="368">
        <f t="shared" si="136"/>
        <v>3568.726084911621</v>
      </c>
      <c r="AX91" s="368">
        <f t="shared" si="136"/>
        <v>2262.9842009585423</v>
      </c>
      <c r="AY91" s="368">
        <f t="shared" si="136"/>
        <v>0</v>
      </c>
      <c r="AZ91" s="368">
        <f t="shared" si="136"/>
        <v>1316.3946775132658</v>
      </c>
      <c r="BB91" s="64"/>
      <c r="BC91" s="66"/>
      <c r="BD91" s="66"/>
      <c r="BE91" s="66"/>
    </row>
    <row r="92" spans="1:177" s="364" customFormat="1" ht="21" customHeight="1" x14ac:dyDescent="0.2">
      <c r="B92" s="365">
        <v>4</v>
      </c>
      <c r="C92" s="372" t="s">
        <v>42</v>
      </c>
      <c r="D92" s="365">
        <v>1105</v>
      </c>
      <c r="E92" s="372" t="s">
        <v>154</v>
      </c>
      <c r="F92" s="371" t="s">
        <v>155</v>
      </c>
      <c r="G92" s="384">
        <v>44140</v>
      </c>
      <c r="H92" s="56" t="str">
        <f xml:space="preserve"> CONCATENATE(DATEDIF(G92,H$5,"Y")," AÑOS")</f>
        <v>4 AÑOS</v>
      </c>
      <c r="I92" s="57">
        <v>7173.5091218566131</v>
      </c>
      <c r="J92" s="58"/>
      <c r="K92" s="58"/>
      <c r="L92" s="59"/>
      <c r="M92" s="60">
        <v>4.0000000000000002E-4</v>
      </c>
      <c r="N92" s="61">
        <f t="shared" si="122"/>
        <v>286.9403648742645</v>
      </c>
      <c r="O92" s="58">
        <f t="shared" si="123"/>
        <v>7460.4494867308777</v>
      </c>
      <c r="P92" s="61">
        <f t="shared" si="124"/>
        <v>14920.898973461755</v>
      </c>
      <c r="Q92" s="61">
        <f t="shared" si="125"/>
        <v>11190.674230096316</v>
      </c>
      <c r="R92" s="61">
        <f t="shared" si="126"/>
        <v>3730.2247433654388</v>
      </c>
      <c r="S92" s="61">
        <f t="shared" si="127"/>
        <v>497.36329911539184</v>
      </c>
      <c r="T92" s="58">
        <f t="shared" si="128"/>
        <v>570.92333105455828</v>
      </c>
      <c r="U92" s="61">
        <f t="shared" si="129"/>
        <v>5595.337115048158</v>
      </c>
      <c r="V92" s="58">
        <f t="shared" si="130"/>
        <v>1865.1123716827194</v>
      </c>
      <c r="W92" s="62">
        <v>0</v>
      </c>
      <c r="X92" s="63">
        <f t="shared" si="131"/>
        <v>0</v>
      </c>
      <c r="Y92" s="61">
        <v>915.46467681541048</v>
      </c>
      <c r="Z92" s="61">
        <v>0</v>
      </c>
      <c r="AA92" s="61">
        <f t="shared" si="132"/>
        <v>1865.1123716827194</v>
      </c>
      <c r="AB92" s="61">
        <f t="shared" si="133"/>
        <v>373.02247433654389</v>
      </c>
      <c r="AC92" s="61">
        <v>2377.1337968278203</v>
      </c>
      <c r="AD92" s="61">
        <v>1496.4185968605502</v>
      </c>
      <c r="AE92" s="61">
        <v>884.9311631345654</v>
      </c>
      <c r="AF92" s="61">
        <v>0</v>
      </c>
      <c r="AG92" s="61">
        <f t="shared" si="134"/>
        <v>514.77101458443053</v>
      </c>
      <c r="AH92" s="64"/>
      <c r="AI92" s="64"/>
      <c r="AJ92" s="365">
        <v>4</v>
      </c>
      <c r="AK92" s="372" t="s">
        <v>42</v>
      </c>
      <c r="AL92" s="365">
        <v>1105</v>
      </c>
      <c r="AM92" s="372" t="s">
        <v>154</v>
      </c>
      <c r="AN92" s="371" t="s">
        <v>155</v>
      </c>
      <c r="AO92" s="368">
        <f>Q92*12</f>
        <v>134288.09076115579</v>
      </c>
      <c r="AP92" s="368">
        <f>R92*12</f>
        <v>44762.696920385264</v>
      </c>
      <c r="AQ92" s="368">
        <f t="shared" ref="AQ92:AZ92" si="137">X92*12</f>
        <v>0</v>
      </c>
      <c r="AR92" s="368">
        <f t="shared" si="137"/>
        <v>10985.576121784925</v>
      </c>
      <c r="AS92" s="368">
        <f t="shared" si="137"/>
        <v>0</v>
      </c>
      <c r="AT92" s="368">
        <f t="shared" si="137"/>
        <v>22381.348460192632</v>
      </c>
      <c r="AU92" s="368">
        <f t="shared" si="137"/>
        <v>4476.269692038527</v>
      </c>
      <c r="AV92" s="368">
        <f t="shared" si="137"/>
        <v>28525.605561933844</v>
      </c>
      <c r="AW92" s="368">
        <f t="shared" si="137"/>
        <v>17957.023162326601</v>
      </c>
      <c r="AX92" s="368">
        <f t="shared" si="137"/>
        <v>10619.173957614785</v>
      </c>
      <c r="AY92" s="368">
        <f t="shared" si="137"/>
        <v>0</v>
      </c>
      <c r="AZ92" s="368">
        <f t="shared" si="137"/>
        <v>6177.2521750131664</v>
      </c>
      <c r="BB92" s="64"/>
      <c r="BC92" s="66"/>
      <c r="BD92" s="66"/>
      <c r="BE92" s="66"/>
    </row>
    <row r="93" spans="1:177" s="364" customFormat="1" ht="21" customHeight="1" x14ac:dyDescent="0.2">
      <c r="B93" s="369">
        <v>5</v>
      </c>
      <c r="C93" s="372" t="s">
        <v>42</v>
      </c>
      <c r="D93" s="365"/>
      <c r="E93" s="391" t="s">
        <v>55</v>
      </c>
      <c r="F93" s="372" t="s">
        <v>156</v>
      </c>
      <c r="G93" s="392"/>
      <c r="H93" s="56"/>
      <c r="I93" s="57">
        <v>7087</v>
      </c>
      <c r="J93" s="58"/>
      <c r="K93" s="58"/>
      <c r="L93" s="59"/>
      <c r="M93" s="60">
        <v>4.0000000000000002E-4</v>
      </c>
      <c r="N93" s="61">
        <f t="shared" si="122"/>
        <v>283.48</v>
      </c>
      <c r="O93" s="58">
        <f t="shared" si="123"/>
        <v>7370.48</v>
      </c>
      <c r="P93" s="61">
        <f t="shared" si="124"/>
        <v>14740.96</v>
      </c>
      <c r="Q93" s="61">
        <f t="shared" si="125"/>
        <v>11055.72</v>
      </c>
      <c r="R93" s="61">
        <f t="shared" si="126"/>
        <v>3685.24</v>
      </c>
      <c r="S93" s="61">
        <f t="shared" si="127"/>
        <v>491.3653333333333</v>
      </c>
      <c r="T93" s="58">
        <f t="shared" si="128"/>
        <v>564.03826613333331</v>
      </c>
      <c r="U93" s="61">
        <f t="shared" si="129"/>
        <v>5527.86</v>
      </c>
      <c r="V93" s="58">
        <f t="shared" si="130"/>
        <v>1842.62</v>
      </c>
      <c r="W93" s="62">
        <v>0</v>
      </c>
      <c r="X93" s="63">
        <f t="shared" si="131"/>
        <v>0</v>
      </c>
      <c r="Y93" s="61">
        <v>893.87199999999984</v>
      </c>
      <c r="Z93" s="61">
        <v>0</v>
      </c>
      <c r="AA93" s="61">
        <f t="shared" si="132"/>
        <v>1842.62</v>
      </c>
      <c r="AB93" s="61">
        <f t="shared" si="133"/>
        <v>368.52399999999994</v>
      </c>
      <c r="AC93" s="61">
        <v>2355.080140037152</v>
      </c>
      <c r="AD93" s="61">
        <v>1478.3724974487732</v>
      </c>
      <c r="AE93" s="61">
        <v>874.25931250666656</v>
      </c>
      <c r="AF93" s="61">
        <v>0</v>
      </c>
      <c r="AG93" s="61">
        <f t="shared" si="134"/>
        <v>508.56311999999997</v>
      </c>
      <c r="AH93" s="64"/>
      <c r="AI93" s="64"/>
      <c r="AJ93" s="369">
        <v>5</v>
      </c>
      <c r="AK93" s="372" t="s">
        <v>42</v>
      </c>
      <c r="AL93" s="365"/>
      <c r="AM93" s="391" t="s">
        <v>55</v>
      </c>
      <c r="AN93" s="372" t="s">
        <v>156</v>
      </c>
      <c r="AO93" s="368">
        <f>Q93*4.5</f>
        <v>49750.74</v>
      </c>
      <c r="AP93" s="368">
        <f>R93*4.5</f>
        <v>16583.579999999998</v>
      </c>
      <c r="AQ93" s="368">
        <f t="shared" ref="AQ93:AZ93" si="138">X93*4.5</f>
        <v>0</v>
      </c>
      <c r="AR93" s="368">
        <f t="shared" si="138"/>
        <v>4022.4239999999991</v>
      </c>
      <c r="AS93" s="368">
        <f t="shared" si="138"/>
        <v>0</v>
      </c>
      <c r="AT93" s="368">
        <f t="shared" si="138"/>
        <v>8291.7899999999991</v>
      </c>
      <c r="AU93" s="368">
        <f t="shared" si="138"/>
        <v>1658.3579999999997</v>
      </c>
      <c r="AV93" s="368">
        <f t="shared" si="138"/>
        <v>10597.860630167184</v>
      </c>
      <c r="AW93" s="368">
        <f t="shared" si="138"/>
        <v>6652.6762385194797</v>
      </c>
      <c r="AX93" s="368">
        <f t="shared" si="138"/>
        <v>3934.1669062799997</v>
      </c>
      <c r="AY93" s="368">
        <f t="shared" si="138"/>
        <v>0</v>
      </c>
      <c r="AZ93" s="368">
        <f t="shared" si="138"/>
        <v>2288.53404</v>
      </c>
      <c r="BB93" s="64"/>
      <c r="BC93" s="66"/>
      <c r="BD93" s="66"/>
      <c r="BE93" s="66"/>
    </row>
    <row r="94" spans="1:177" s="364" customFormat="1" ht="21" customHeight="1" x14ac:dyDescent="0.2">
      <c r="B94" s="365">
        <v>6</v>
      </c>
      <c r="C94" s="372" t="s">
        <v>42</v>
      </c>
      <c r="D94" s="365">
        <v>11011</v>
      </c>
      <c r="E94" s="371" t="s">
        <v>157</v>
      </c>
      <c r="F94" s="371" t="s">
        <v>158</v>
      </c>
      <c r="G94" s="55">
        <v>36857</v>
      </c>
      <c r="H94" s="56" t="str">
        <f xml:space="preserve"> CONCATENATE(DATEDIF(G94,H$5,"Y")," AÑOS")</f>
        <v>24 AÑOS</v>
      </c>
      <c r="I94" s="57">
        <v>11672.172105973888</v>
      </c>
      <c r="J94" s="58"/>
      <c r="K94" s="58"/>
      <c r="L94" s="59"/>
      <c r="M94" s="60">
        <v>4.0000000000000002E-4</v>
      </c>
      <c r="N94" s="61">
        <f t="shared" si="122"/>
        <v>466.88688423895553</v>
      </c>
      <c r="O94" s="58">
        <f t="shared" si="123"/>
        <v>12139.058990212843</v>
      </c>
      <c r="P94" s="61">
        <f t="shared" si="124"/>
        <v>24278.117980425686</v>
      </c>
      <c r="Q94" s="61">
        <f t="shared" si="125"/>
        <v>18208.588485319266</v>
      </c>
      <c r="R94" s="61">
        <f t="shared" si="126"/>
        <v>6069.5294951064216</v>
      </c>
      <c r="S94" s="61">
        <f t="shared" si="127"/>
        <v>809.27059934752288</v>
      </c>
      <c r="T94" s="58">
        <f t="shared" si="128"/>
        <v>928.96172099102148</v>
      </c>
      <c r="U94" s="61">
        <f t="shared" si="129"/>
        <v>9104.2942426596328</v>
      </c>
      <c r="V94" s="58">
        <f t="shared" si="130"/>
        <v>3034.7647475532108</v>
      </c>
      <c r="W94" s="62">
        <v>0</v>
      </c>
      <c r="X94" s="63">
        <f t="shared" si="131"/>
        <v>0</v>
      </c>
      <c r="Y94" s="61">
        <v>2243.2305484641952</v>
      </c>
      <c r="Z94" s="61">
        <v>0</v>
      </c>
      <c r="AA94" s="61">
        <f t="shared" si="132"/>
        <v>3034.7647475532108</v>
      </c>
      <c r="AB94" s="61">
        <f t="shared" si="133"/>
        <v>606.95294951064216</v>
      </c>
      <c r="AC94" s="61">
        <v>3523.9720416206715</v>
      </c>
      <c r="AD94" s="61">
        <v>2434.8551188035171</v>
      </c>
      <c r="AE94" s="61">
        <v>1439.8906675360834</v>
      </c>
      <c r="AF94" s="61">
        <v>0</v>
      </c>
      <c r="AG94" s="61">
        <f t="shared" si="134"/>
        <v>837.59507032468616</v>
      </c>
      <c r="AH94" s="64"/>
      <c r="AI94" s="64"/>
      <c r="AJ94" s="365">
        <v>6</v>
      </c>
      <c r="AK94" s="372" t="s">
        <v>42</v>
      </c>
      <c r="AL94" s="365">
        <v>11011</v>
      </c>
      <c r="AM94" s="371" t="s">
        <v>157</v>
      </c>
      <c r="AN94" s="371" t="s">
        <v>158</v>
      </c>
      <c r="AO94" s="368">
        <f>Q94*12</f>
        <v>218503.06182383117</v>
      </c>
      <c r="AP94" s="368">
        <f>R94*12</f>
        <v>72834.353941277062</v>
      </c>
      <c r="AQ94" s="368">
        <f t="shared" ref="AQ94:AZ95" si="139">X94*12</f>
        <v>0</v>
      </c>
      <c r="AR94" s="368">
        <f t="shared" si="139"/>
        <v>26918.766581570344</v>
      </c>
      <c r="AS94" s="368">
        <f t="shared" si="139"/>
        <v>0</v>
      </c>
      <c r="AT94" s="368">
        <f t="shared" si="139"/>
        <v>36417.176970638531</v>
      </c>
      <c r="AU94" s="368">
        <f t="shared" si="139"/>
        <v>7283.4353941277059</v>
      </c>
      <c r="AV94" s="368">
        <f t="shared" si="139"/>
        <v>42287.664499448059</v>
      </c>
      <c r="AW94" s="368">
        <f t="shared" si="139"/>
        <v>29218.261425642206</v>
      </c>
      <c r="AX94" s="368">
        <f t="shared" si="139"/>
        <v>17278.688010433001</v>
      </c>
      <c r="AY94" s="368">
        <f t="shared" si="139"/>
        <v>0</v>
      </c>
      <c r="AZ94" s="368">
        <f t="shared" si="139"/>
        <v>10051.140843896233</v>
      </c>
      <c r="BB94" s="64"/>
      <c r="BC94" s="66"/>
      <c r="BD94" s="66"/>
      <c r="BE94" s="66"/>
    </row>
    <row r="95" spans="1:177" s="364" customFormat="1" ht="21" customHeight="1" x14ac:dyDescent="0.2">
      <c r="B95" s="369">
        <v>7</v>
      </c>
      <c r="C95" s="372" t="s">
        <v>42</v>
      </c>
      <c r="D95" s="365">
        <v>5096</v>
      </c>
      <c r="E95" s="371" t="s">
        <v>159</v>
      </c>
      <c r="F95" s="371" t="s">
        <v>160</v>
      </c>
      <c r="G95" s="55">
        <v>42720</v>
      </c>
      <c r="H95" s="56" t="str">
        <f xml:space="preserve"> CONCATENATE(DATEDIF(G95,H$5,"Y")," AÑOS")</f>
        <v>8 AÑOS</v>
      </c>
      <c r="I95" s="57">
        <v>13300.507961531483</v>
      </c>
      <c r="J95" s="58"/>
      <c r="K95" s="58"/>
      <c r="L95" s="59"/>
      <c r="M95" s="60">
        <v>4.0000000000000002E-4</v>
      </c>
      <c r="N95" s="61">
        <f t="shared" si="122"/>
        <v>532.02031846125931</v>
      </c>
      <c r="O95" s="58">
        <f t="shared" si="123"/>
        <v>13832.528279992743</v>
      </c>
      <c r="P95" s="61">
        <f t="shared" si="124"/>
        <v>27665.056559985485</v>
      </c>
      <c r="Q95" s="61">
        <f t="shared" si="125"/>
        <v>20748.792419989113</v>
      </c>
      <c r="R95" s="61">
        <f t="shared" si="126"/>
        <v>6916.2641399963713</v>
      </c>
      <c r="S95" s="61">
        <f t="shared" si="127"/>
        <v>922.16855199951613</v>
      </c>
      <c r="T95" s="58">
        <f t="shared" si="128"/>
        <v>1058.5572808402444</v>
      </c>
      <c r="U95" s="61">
        <f t="shared" si="129"/>
        <v>10374.396209994557</v>
      </c>
      <c r="V95" s="58">
        <f t="shared" si="130"/>
        <v>3458.1320699981857</v>
      </c>
      <c r="W95" s="62">
        <v>0</v>
      </c>
      <c r="X95" s="63">
        <f t="shared" si="131"/>
        <v>0</v>
      </c>
      <c r="Y95" s="61">
        <v>2785.8181089096747</v>
      </c>
      <c r="Z95" s="61">
        <v>0</v>
      </c>
      <c r="AA95" s="61">
        <f t="shared" si="132"/>
        <v>3458.1320699981857</v>
      </c>
      <c r="AB95" s="61">
        <f t="shared" si="133"/>
        <v>691.62641399963707</v>
      </c>
      <c r="AC95" s="61">
        <v>3939.0815621857842</v>
      </c>
      <c r="AD95" s="61">
        <v>2774.5315609463223</v>
      </c>
      <c r="AE95" s="61">
        <v>1640.7637853023789</v>
      </c>
      <c r="AF95" s="61">
        <v>0</v>
      </c>
      <c r="AG95" s="61">
        <f t="shared" si="134"/>
        <v>954.44445131949919</v>
      </c>
      <c r="AH95" s="64"/>
      <c r="AI95" s="64"/>
      <c r="AJ95" s="369">
        <v>7</v>
      </c>
      <c r="AK95" s="372" t="s">
        <v>42</v>
      </c>
      <c r="AL95" s="365">
        <v>5096</v>
      </c>
      <c r="AM95" s="371" t="s">
        <v>159</v>
      </c>
      <c r="AN95" s="371" t="s">
        <v>160</v>
      </c>
      <c r="AO95" s="368">
        <f>Q95*12</f>
        <v>248985.50903986936</v>
      </c>
      <c r="AP95" s="368">
        <f>R95*12</f>
        <v>82995.169679956452</v>
      </c>
      <c r="AQ95" s="368">
        <f t="shared" si="139"/>
        <v>0</v>
      </c>
      <c r="AR95" s="368">
        <f t="shared" si="139"/>
        <v>33429.817306916098</v>
      </c>
      <c r="AS95" s="368">
        <f t="shared" si="139"/>
        <v>0</v>
      </c>
      <c r="AT95" s="368">
        <f t="shared" si="139"/>
        <v>41497.584839978226</v>
      </c>
      <c r="AU95" s="368">
        <f t="shared" si="139"/>
        <v>8299.5169679956452</v>
      </c>
      <c r="AV95" s="368">
        <f t="shared" si="139"/>
        <v>47268.978746229412</v>
      </c>
      <c r="AW95" s="368">
        <f t="shared" si="139"/>
        <v>33294.378731355871</v>
      </c>
      <c r="AX95" s="368">
        <f t="shared" si="139"/>
        <v>19689.165423628547</v>
      </c>
      <c r="AY95" s="368">
        <f t="shared" si="139"/>
        <v>0</v>
      </c>
      <c r="AZ95" s="368">
        <f t="shared" si="139"/>
        <v>11453.333415833989</v>
      </c>
      <c r="BB95" s="64"/>
      <c r="BC95" s="66"/>
      <c r="BD95" s="66"/>
      <c r="BE95" s="66"/>
    </row>
    <row r="96" spans="1:177" s="364" customFormat="1" ht="21" customHeight="1" x14ac:dyDescent="0.2">
      <c r="B96" s="365">
        <v>8</v>
      </c>
      <c r="C96" s="372" t="s">
        <v>42</v>
      </c>
      <c r="D96" s="365"/>
      <c r="E96" s="391" t="s">
        <v>55</v>
      </c>
      <c r="F96" s="372" t="s">
        <v>161</v>
      </c>
      <c r="G96" s="384"/>
      <c r="H96" s="56"/>
      <c r="I96" s="57">
        <v>5129.1478084036989</v>
      </c>
      <c r="J96" s="58"/>
      <c r="K96" s="58"/>
      <c r="L96" s="59"/>
      <c r="M96" s="60">
        <v>4.0000000000000002E-4</v>
      </c>
      <c r="N96" s="61">
        <f t="shared" si="122"/>
        <v>205.16591233614795</v>
      </c>
      <c r="O96" s="58">
        <f t="shared" si="123"/>
        <v>5334.3137207398468</v>
      </c>
      <c r="P96" s="61">
        <f t="shared" si="124"/>
        <v>10668.627441479694</v>
      </c>
      <c r="Q96" s="61">
        <f t="shared" si="125"/>
        <v>8001.4705811097701</v>
      </c>
      <c r="R96" s="61">
        <f t="shared" si="126"/>
        <v>2667.1568603699234</v>
      </c>
      <c r="S96" s="61">
        <f t="shared" si="127"/>
        <v>355.62091471598978</v>
      </c>
      <c r="T96" s="58">
        <f t="shared" si="128"/>
        <v>408.21724800248467</v>
      </c>
      <c r="U96" s="61">
        <f t="shared" si="129"/>
        <v>4000.7352905548851</v>
      </c>
      <c r="V96" s="58">
        <f t="shared" si="130"/>
        <v>1333.5784301849617</v>
      </c>
      <c r="W96" s="62">
        <v>0</v>
      </c>
      <c r="X96" s="63">
        <f t="shared" si="131"/>
        <v>0</v>
      </c>
      <c r="Y96" s="61">
        <v>557.59926322474291</v>
      </c>
      <c r="Z96" s="61">
        <v>0</v>
      </c>
      <c r="AA96" s="61">
        <f t="shared" si="132"/>
        <v>1333.5784301849617</v>
      </c>
      <c r="AB96" s="61">
        <f t="shared" si="133"/>
        <v>266.71568603699234</v>
      </c>
      <c r="AC96" s="61">
        <v>1855.9674528006528</v>
      </c>
      <c r="AD96" s="61">
        <v>1013.0115117805658</v>
      </c>
      <c r="AE96" s="61">
        <v>632.73673440385119</v>
      </c>
      <c r="AF96" s="61">
        <v>0</v>
      </c>
      <c r="AG96" s="61">
        <f t="shared" si="134"/>
        <v>368.06764673104942</v>
      </c>
      <c r="AH96" s="64"/>
      <c r="AI96" s="64"/>
      <c r="AJ96" s="365">
        <v>8</v>
      </c>
      <c r="AK96" s="372" t="s">
        <v>42</v>
      </c>
      <c r="AL96" s="365"/>
      <c r="AM96" s="391" t="s">
        <v>55</v>
      </c>
      <c r="AN96" s="372" t="s">
        <v>161</v>
      </c>
      <c r="AO96" s="368">
        <f t="shared" ref="AO96:AP97" si="140">Q96*4.5</f>
        <v>36006.617614993964</v>
      </c>
      <c r="AP96" s="368">
        <f t="shared" si="140"/>
        <v>12002.205871664655</v>
      </c>
      <c r="AQ96" s="368">
        <f t="shared" ref="AQ96:AZ97" si="141">X96*4.5</f>
        <v>0</v>
      </c>
      <c r="AR96" s="368">
        <f t="shared" si="141"/>
        <v>2509.1966845113429</v>
      </c>
      <c r="AS96" s="368">
        <f t="shared" si="141"/>
        <v>0</v>
      </c>
      <c r="AT96" s="368">
        <f t="shared" si="141"/>
        <v>6001.1029358323276</v>
      </c>
      <c r="AU96" s="368">
        <f t="shared" si="141"/>
        <v>1200.2205871664655</v>
      </c>
      <c r="AV96" s="368">
        <f t="shared" si="141"/>
        <v>8351.8535376029376</v>
      </c>
      <c r="AW96" s="368">
        <f t="shared" si="141"/>
        <v>4558.5518030125459</v>
      </c>
      <c r="AX96" s="368">
        <f t="shared" si="141"/>
        <v>2847.3153048173303</v>
      </c>
      <c r="AY96" s="368">
        <f t="shared" si="141"/>
        <v>0</v>
      </c>
      <c r="AZ96" s="368">
        <f t="shared" si="141"/>
        <v>1656.3044102897225</v>
      </c>
      <c r="BB96" s="64"/>
      <c r="BC96" s="66"/>
      <c r="BD96" s="66"/>
      <c r="BE96" s="66"/>
    </row>
    <row r="97" spans="1:177" s="364" customFormat="1" ht="21" customHeight="1" x14ac:dyDescent="0.2">
      <c r="B97" s="369">
        <v>9</v>
      </c>
      <c r="C97" s="372" t="s">
        <v>42</v>
      </c>
      <c r="D97" s="365"/>
      <c r="E97" s="391" t="s">
        <v>55</v>
      </c>
      <c r="F97" s="371" t="s">
        <v>162</v>
      </c>
      <c r="G97" s="384"/>
      <c r="H97" s="56"/>
      <c r="I97" s="57">
        <v>12300.043043963506</v>
      </c>
      <c r="J97" s="58"/>
      <c r="K97" s="58"/>
      <c r="L97" s="59"/>
      <c r="M97" s="60">
        <v>4.0000000000000002E-4</v>
      </c>
      <c r="N97" s="61">
        <f t="shared" si="122"/>
        <v>492.00172175854021</v>
      </c>
      <c r="O97" s="58">
        <f t="shared" si="123"/>
        <v>12792.044765722047</v>
      </c>
      <c r="P97" s="61">
        <f t="shared" si="124"/>
        <v>25584.089531444093</v>
      </c>
      <c r="Q97" s="61">
        <f t="shared" si="125"/>
        <v>19188.067148583068</v>
      </c>
      <c r="R97" s="61">
        <f t="shared" si="126"/>
        <v>6396.0223828610233</v>
      </c>
      <c r="S97" s="61">
        <f t="shared" si="127"/>
        <v>852.80298438146974</v>
      </c>
      <c r="T97" s="58">
        <f t="shared" si="128"/>
        <v>978.932545771489</v>
      </c>
      <c r="U97" s="61">
        <f t="shared" si="129"/>
        <v>9594.033574291534</v>
      </c>
      <c r="V97" s="58">
        <f t="shared" si="130"/>
        <v>3198.0111914305116</v>
      </c>
      <c r="W97" s="62">
        <v>0</v>
      </c>
      <c r="X97" s="63">
        <f t="shared" si="131"/>
        <v>0</v>
      </c>
      <c r="Y97" s="61">
        <v>2452.4471909373433</v>
      </c>
      <c r="Z97" s="61">
        <v>0</v>
      </c>
      <c r="AA97" s="61">
        <f t="shared" si="132"/>
        <v>3198.0111914305112</v>
      </c>
      <c r="AB97" s="61">
        <f t="shared" si="133"/>
        <v>639.60223828610231</v>
      </c>
      <c r="AC97" s="61">
        <v>3684.0343550286066</v>
      </c>
      <c r="AD97" s="61">
        <v>2565.8311490943611</v>
      </c>
      <c r="AE97" s="61">
        <v>1517.345445945808</v>
      </c>
      <c r="AF97" s="61">
        <v>0</v>
      </c>
      <c r="AG97" s="61">
        <f t="shared" si="134"/>
        <v>882.65108883482117</v>
      </c>
      <c r="AH97" s="64"/>
      <c r="AI97" s="64"/>
      <c r="AJ97" s="369">
        <v>9</v>
      </c>
      <c r="AK97" s="372" t="s">
        <v>42</v>
      </c>
      <c r="AL97" s="365"/>
      <c r="AM97" s="391" t="s">
        <v>55</v>
      </c>
      <c r="AN97" s="371" t="s">
        <v>162</v>
      </c>
      <c r="AO97" s="368">
        <f t="shared" si="140"/>
        <v>86346.302168623806</v>
      </c>
      <c r="AP97" s="368">
        <f t="shared" si="140"/>
        <v>28782.100722874606</v>
      </c>
      <c r="AQ97" s="368">
        <f t="shared" si="141"/>
        <v>0</v>
      </c>
      <c r="AR97" s="368">
        <f t="shared" si="141"/>
        <v>11036.012359218044</v>
      </c>
      <c r="AS97" s="368">
        <f t="shared" si="141"/>
        <v>0</v>
      </c>
      <c r="AT97" s="368">
        <f t="shared" si="141"/>
        <v>14391.050361437301</v>
      </c>
      <c r="AU97" s="368">
        <f t="shared" si="141"/>
        <v>2878.2100722874602</v>
      </c>
      <c r="AV97" s="368">
        <f t="shared" si="141"/>
        <v>16578.154597628731</v>
      </c>
      <c r="AW97" s="368">
        <f t="shared" si="141"/>
        <v>11546.240170924624</v>
      </c>
      <c r="AX97" s="368">
        <f t="shared" si="141"/>
        <v>6828.0545067561361</v>
      </c>
      <c r="AY97" s="368">
        <f t="shared" si="141"/>
        <v>0</v>
      </c>
      <c r="AZ97" s="368">
        <f t="shared" si="141"/>
        <v>3971.9298997566952</v>
      </c>
      <c r="BB97" s="64"/>
      <c r="BC97" s="66"/>
      <c r="BD97" s="66"/>
      <c r="BE97" s="66"/>
    </row>
    <row r="98" spans="1:177" s="364" customFormat="1" ht="21" customHeight="1" x14ac:dyDescent="0.2">
      <c r="B98" s="369">
        <v>10</v>
      </c>
      <c r="C98" s="372" t="s">
        <v>42</v>
      </c>
      <c r="D98" s="365">
        <v>5121</v>
      </c>
      <c r="E98" s="372" t="s">
        <v>163</v>
      </c>
      <c r="F98" s="371" t="s">
        <v>164</v>
      </c>
      <c r="G98" s="384">
        <v>40771</v>
      </c>
      <c r="H98" s="56" t="str">
        <f xml:space="preserve"> CONCATENATE(DATEDIF(G98,H$5,"Y")," AÑOS")</f>
        <v>13 AÑOS</v>
      </c>
      <c r="I98" s="57">
        <v>6814</v>
      </c>
      <c r="J98" s="58"/>
      <c r="K98" s="58"/>
      <c r="L98" s="59"/>
      <c r="M98" s="60">
        <v>4.0000000000000002E-4</v>
      </c>
      <c r="N98" s="61">
        <f t="shared" si="122"/>
        <v>272.56</v>
      </c>
      <c r="O98" s="58">
        <f t="shared" si="123"/>
        <v>7086.56</v>
      </c>
      <c r="P98" s="61">
        <f t="shared" si="124"/>
        <v>14173.12</v>
      </c>
      <c r="Q98" s="61">
        <f t="shared" si="125"/>
        <v>10629.84</v>
      </c>
      <c r="R98" s="61">
        <f t="shared" si="126"/>
        <v>3543.28</v>
      </c>
      <c r="S98" s="61">
        <f t="shared" si="127"/>
        <v>472.43733333333336</v>
      </c>
      <c r="T98" s="58">
        <f t="shared" si="128"/>
        <v>542.31081493333329</v>
      </c>
      <c r="U98" s="61">
        <f t="shared" si="129"/>
        <v>5314.92</v>
      </c>
      <c r="V98" s="58">
        <f t="shared" si="130"/>
        <v>1771.64</v>
      </c>
      <c r="W98" s="62">
        <v>0</v>
      </c>
      <c r="X98" s="63"/>
      <c r="Y98" s="61">
        <v>843.57</v>
      </c>
      <c r="Z98" s="61">
        <v>0</v>
      </c>
      <c r="AA98" s="61">
        <f t="shared" si="132"/>
        <v>1771.64</v>
      </c>
      <c r="AB98" s="61">
        <f t="shared" si="133"/>
        <v>354.32800000000003</v>
      </c>
      <c r="AC98" s="61">
        <v>2285.4846086684283</v>
      </c>
      <c r="AD98" s="61">
        <v>1421.4237614810131</v>
      </c>
      <c r="AE98" s="61">
        <v>840.58176314666662</v>
      </c>
      <c r="AF98" s="61">
        <v>0</v>
      </c>
      <c r="AG98" s="61">
        <f t="shared" si="134"/>
        <v>488.97263999999996</v>
      </c>
      <c r="AH98" s="64"/>
      <c r="AI98" s="64"/>
      <c r="AJ98" s="369">
        <v>10</v>
      </c>
      <c r="AK98" s="372" t="s">
        <v>42</v>
      </c>
      <c r="AL98" s="365">
        <v>5121</v>
      </c>
      <c r="AM98" s="372" t="s">
        <v>163</v>
      </c>
      <c r="AN98" s="371" t="s">
        <v>164</v>
      </c>
      <c r="AO98" s="368">
        <f>Q98*12</f>
        <v>127558.08</v>
      </c>
      <c r="AP98" s="368">
        <f>R98*12</f>
        <v>42519.360000000001</v>
      </c>
      <c r="AQ98" s="368">
        <f t="shared" ref="AQ98:AZ98" si="142">X98*12</f>
        <v>0</v>
      </c>
      <c r="AR98" s="368">
        <f t="shared" si="142"/>
        <v>10122.84</v>
      </c>
      <c r="AS98" s="368">
        <f t="shared" si="142"/>
        <v>0</v>
      </c>
      <c r="AT98" s="368">
        <f t="shared" si="142"/>
        <v>21259.68</v>
      </c>
      <c r="AU98" s="368">
        <f t="shared" si="142"/>
        <v>4251.9360000000006</v>
      </c>
      <c r="AV98" s="368">
        <f t="shared" si="142"/>
        <v>27425.81530402114</v>
      </c>
      <c r="AW98" s="368">
        <f t="shared" si="142"/>
        <v>17057.085137772156</v>
      </c>
      <c r="AX98" s="368">
        <f t="shared" si="142"/>
        <v>10086.981157759999</v>
      </c>
      <c r="AY98" s="368">
        <f t="shared" si="142"/>
        <v>0</v>
      </c>
      <c r="AZ98" s="368">
        <f t="shared" si="142"/>
        <v>5867.6716799999995</v>
      </c>
      <c r="BB98" s="64"/>
      <c r="BC98" s="66"/>
      <c r="BD98" s="66"/>
      <c r="BE98" s="66"/>
    </row>
    <row r="99" spans="1:177" s="364" customFormat="1" ht="21" customHeight="1" x14ac:dyDescent="0.2">
      <c r="B99" s="365">
        <v>11</v>
      </c>
      <c r="C99" s="372" t="s">
        <v>42</v>
      </c>
      <c r="D99" s="365"/>
      <c r="E99" s="375" t="s">
        <v>55</v>
      </c>
      <c r="F99" s="371" t="s">
        <v>165</v>
      </c>
      <c r="G99" s="384"/>
      <c r="H99" s="56"/>
      <c r="I99" s="57">
        <v>4740.2853388574022</v>
      </c>
      <c r="J99" s="58"/>
      <c r="K99" s="58"/>
      <c r="L99" s="59"/>
      <c r="M99" s="60">
        <v>4.0000000000000002E-4</v>
      </c>
      <c r="N99" s="61">
        <f t="shared" si="122"/>
        <v>189.61141355429609</v>
      </c>
      <c r="O99" s="58">
        <f t="shared" si="123"/>
        <v>4929.8967524116979</v>
      </c>
      <c r="P99" s="61">
        <f t="shared" si="124"/>
        <v>9859.7935048233958</v>
      </c>
      <c r="Q99" s="61">
        <f t="shared" si="125"/>
        <v>7394.8451286175468</v>
      </c>
      <c r="R99" s="61">
        <f t="shared" si="126"/>
        <v>2464.9483762058489</v>
      </c>
      <c r="S99" s="61">
        <f t="shared" si="127"/>
        <v>328.65978349411319</v>
      </c>
      <c r="T99" s="58">
        <f t="shared" si="128"/>
        <v>377.26856547289248</v>
      </c>
      <c r="U99" s="61">
        <f t="shared" si="129"/>
        <v>3697.4225643087734</v>
      </c>
      <c r="V99" s="58">
        <f t="shared" si="130"/>
        <v>1232.4741881029245</v>
      </c>
      <c r="W99" s="62">
        <v>0</v>
      </c>
      <c r="X99" s="63">
        <f>P99*W99</f>
        <v>0</v>
      </c>
      <c r="Y99" s="61">
        <v>491.59841399358902</v>
      </c>
      <c r="Z99" s="61">
        <v>0</v>
      </c>
      <c r="AA99" s="61">
        <f t="shared" si="132"/>
        <v>1232.4741881029245</v>
      </c>
      <c r="AB99" s="61">
        <f t="shared" si="133"/>
        <v>246.49483762058489</v>
      </c>
      <c r="AC99" s="61">
        <v>1756.8352542752734</v>
      </c>
      <c r="AD99" s="61">
        <v>936.21080864925648</v>
      </c>
      <c r="AE99" s="61">
        <v>584.76627648298336</v>
      </c>
      <c r="AF99" s="61">
        <v>0</v>
      </c>
      <c r="AG99" s="61">
        <f t="shared" si="134"/>
        <v>340.16287591640713</v>
      </c>
      <c r="AH99" s="64"/>
      <c r="AI99" s="64"/>
      <c r="AJ99" s="365">
        <v>11</v>
      </c>
      <c r="AK99" s="372" t="s">
        <v>42</v>
      </c>
      <c r="AL99" s="365"/>
      <c r="AM99" s="375" t="s">
        <v>55</v>
      </c>
      <c r="AN99" s="371" t="s">
        <v>165</v>
      </c>
      <c r="AO99" s="368">
        <f t="shared" ref="AO99:AP100" si="143">Q99*4.5</f>
        <v>33276.803078778961</v>
      </c>
      <c r="AP99" s="368">
        <f t="shared" si="143"/>
        <v>11092.26769292632</v>
      </c>
      <c r="AQ99" s="368">
        <f t="shared" ref="AQ99:AZ100" si="144">X99*4.5</f>
        <v>0</v>
      </c>
      <c r="AR99" s="368">
        <f t="shared" si="144"/>
        <v>2212.1928629711506</v>
      </c>
      <c r="AS99" s="368">
        <f t="shared" si="144"/>
        <v>0</v>
      </c>
      <c r="AT99" s="368">
        <f t="shared" si="144"/>
        <v>5546.1338464631599</v>
      </c>
      <c r="AU99" s="368">
        <f t="shared" si="144"/>
        <v>1109.2267692926321</v>
      </c>
      <c r="AV99" s="368">
        <f t="shared" si="144"/>
        <v>7905.7586442387301</v>
      </c>
      <c r="AW99" s="368">
        <f t="shared" si="144"/>
        <v>4212.9486389216545</v>
      </c>
      <c r="AX99" s="368">
        <f t="shared" si="144"/>
        <v>2631.4482441734253</v>
      </c>
      <c r="AY99" s="368">
        <f t="shared" si="144"/>
        <v>0</v>
      </c>
      <c r="AZ99" s="368">
        <f t="shared" si="144"/>
        <v>1530.7329416238322</v>
      </c>
      <c r="BB99" s="64"/>
      <c r="BC99" s="66"/>
      <c r="BD99" s="66"/>
      <c r="BE99" s="66"/>
    </row>
    <row r="100" spans="1:177" s="364" customFormat="1" ht="21" customHeight="1" x14ac:dyDescent="0.2">
      <c r="B100" s="369">
        <v>12</v>
      </c>
      <c r="C100" s="372" t="s">
        <v>42</v>
      </c>
      <c r="D100" s="365"/>
      <c r="E100" s="375" t="s">
        <v>55</v>
      </c>
      <c r="F100" s="371" t="s">
        <v>166</v>
      </c>
      <c r="G100" s="384"/>
      <c r="H100" s="56"/>
      <c r="I100" s="57">
        <v>7173.5091218566131</v>
      </c>
      <c r="J100" s="58"/>
      <c r="K100" s="58"/>
      <c r="L100" s="59"/>
      <c r="M100" s="60">
        <v>4.0000000000000002E-4</v>
      </c>
      <c r="N100" s="61">
        <f t="shared" si="122"/>
        <v>286.9403648742645</v>
      </c>
      <c r="O100" s="58">
        <f t="shared" si="123"/>
        <v>7460.4494867308777</v>
      </c>
      <c r="P100" s="61">
        <f t="shared" si="124"/>
        <v>14920.898973461755</v>
      </c>
      <c r="Q100" s="61">
        <f t="shared" si="125"/>
        <v>11190.674230096316</v>
      </c>
      <c r="R100" s="61">
        <f t="shared" si="126"/>
        <v>3730.2247433654388</v>
      </c>
      <c r="S100" s="61">
        <f t="shared" si="127"/>
        <v>497.36329911539184</v>
      </c>
      <c r="T100" s="58">
        <f t="shared" si="128"/>
        <v>570.92333105455828</v>
      </c>
      <c r="U100" s="61">
        <f t="shared" si="129"/>
        <v>5595.337115048158</v>
      </c>
      <c r="V100" s="58">
        <f t="shared" si="130"/>
        <v>1865.1123716827194</v>
      </c>
      <c r="W100" s="62">
        <v>0</v>
      </c>
      <c r="X100" s="63">
        <f>P100*W100</f>
        <v>0</v>
      </c>
      <c r="Y100" s="61">
        <v>915.46467681541048</v>
      </c>
      <c r="Z100" s="61">
        <v>0</v>
      </c>
      <c r="AA100" s="61">
        <f t="shared" si="132"/>
        <v>1865.1123716827194</v>
      </c>
      <c r="AB100" s="61">
        <f t="shared" si="133"/>
        <v>373.02247433654389</v>
      </c>
      <c r="AC100" s="61">
        <v>2377.1337968278203</v>
      </c>
      <c r="AD100" s="61">
        <v>1496.4185968605502</v>
      </c>
      <c r="AE100" s="61">
        <v>884.9311631345654</v>
      </c>
      <c r="AF100" s="61">
        <v>0</v>
      </c>
      <c r="AG100" s="61">
        <f t="shared" si="134"/>
        <v>514.77101458443053</v>
      </c>
      <c r="AH100" s="64"/>
      <c r="AI100" s="64"/>
      <c r="AJ100" s="369">
        <v>12</v>
      </c>
      <c r="AK100" s="372" t="s">
        <v>42</v>
      </c>
      <c r="AL100" s="365"/>
      <c r="AM100" s="375" t="s">
        <v>55</v>
      </c>
      <c r="AN100" s="371" t="s">
        <v>166</v>
      </c>
      <c r="AO100" s="368">
        <f t="shared" si="143"/>
        <v>50358.034035433418</v>
      </c>
      <c r="AP100" s="368">
        <f t="shared" si="143"/>
        <v>16786.011345144474</v>
      </c>
      <c r="AQ100" s="368">
        <f t="shared" si="144"/>
        <v>0</v>
      </c>
      <c r="AR100" s="368">
        <f t="shared" si="144"/>
        <v>4119.5910456693473</v>
      </c>
      <c r="AS100" s="368">
        <f t="shared" si="144"/>
        <v>0</v>
      </c>
      <c r="AT100" s="368">
        <f t="shared" si="144"/>
        <v>8393.005672572237</v>
      </c>
      <c r="AU100" s="368">
        <f t="shared" si="144"/>
        <v>1678.6011345144475</v>
      </c>
      <c r="AV100" s="368">
        <f t="shared" si="144"/>
        <v>10697.102085725192</v>
      </c>
      <c r="AW100" s="368">
        <f t="shared" si="144"/>
        <v>6733.8836858724762</v>
      </c>
      <c r="AX100" s="368">
        <f t="shared" si="144"/>
        <v>3982.1902341055443</v>
      </c>
      <c r="AY100" s="368">
        <f t="shared" si="144"/>
        <v>0</v>
      </c>
      <c r="AZ100" s="368">
        <f t="shared" si="144"/>
        <v>2316.4695656299373</v>
      </c>
      <c r="BB100" s="64"/>
      <c r="BC100" s="66"/>
      <c r="BD100" s="66"/>
      <c r="BE100" s="66"/>
    </row>
    <row r="101" spans="1:177" s="364" customFormat="1" ht="21" customHeight="1" x14ac:dyDescent="0.2">
      <c r="B101" s="365">
        <v>13</v>
      </c>
      <c r="C101" s="372" t="s">
        <v>42</v>
      </c>
      <c r="D101" s="365">
        <v>5122</v>
      </c>
      <c r="E101" s="372" t="s">
        <v>167</v>
      </c>
      <c r="F101" s="371" t="s">
        <v>168</v>
      </c>
      <c r="G101" s="55">
        <v>44881</v>
      </c>
      <c r="H101" s="56" t="str">
        <f xml:space="preserve"> CONCATENATE(DATEDIF(G101,H$5,"Y")," AÑOS")</f>
        <v>2 AÑOS</v>
      </c>
      <c r="I101" s="57">
        <v>3990</v>
      </c>
      <c r="J101" s="58">
        <v>4830</v>
      </c>
      <c r="K101" s="172">
        <f>J101-I101</f>
        <v>840</v>
      </c>
      <c r="L101" s="173">
        <f>K101*100/I101</f>
        <v>21.05263157894737</v>
      </c>
      <c r="M101" s="60">
        <v>2.1050000000000001E-3</v>
      </c>
      <c r="N101" s="61">
        <f>I101*0.2106</f>
        <v>840.29399999999998</v>
      </c>
      <c r="O101" s="58">
        <f t="shared" si="123"/>
        <v>4830.2939999999999</v>
      </c>
      <c r="P101" s="61">
        <f t="shared" si="124"/>
        <v>9660.5879999999997</v>
      </c>
      <c r="Q101" s="61">
        <f t="shared" si="125"/>
        <v>7245.4409999999998</v>
      </c>
      <c r="R101" s="61">
        <f t="shared" si="126"/>
        <v>2415.1469999999999</v>
      </c>
      <c r="S101" s="61">
        <f t="shared" si="127"/>
        <v>322.01959999999997</v>
      </c>
      <c r="T101" s="58">
        <f t="shared" si="128"/>
        <v>369.64629883999993</v>
      </c>
      <c r="U101" s="61">
        <f t="shared" si="129"/>
        <v>3622.7204999999999</v>
      </c>
      <c r="V101" s="58">
        <f t="shared" si="130"/>
        <v>1207.5735</v>
      </c>
      <c r="W101" s="62">
        <v>0</v>
      </c>
      <c r="X101" s="63"/>
      <c r="Y101" s="61">
        <v>260.54000000000002</v>
      </c>
      <c r="Z101" s="61">
        <v>0</v>
      </c>
      <c r="AA101" s="61">
        <f t="shared" si="132"/>
        <v>1207.5734999999997</v>
      </c>
      <c r="AB101" s="61">
        <f t="shared" si="133"/>
        <v>241.51469999999998</v>
      </c>
      <c r="AC101" s="61">
        <v>1732.4202554027759</v>
      </c>
      <c r="AD101" s="61">
        <v>917.29577288640189</v>
      </c>
      <c r="AE101" s="61">
        <v>572.95176320199994</v>
      </c>
      <c r="AF101" s="61">
        <v>0</v>
      </c>
      <c r="AG101" s="61">
        <f t="shared" si="134"/>
        <v>333.29028599999998</v>
      </c>
      <c r="AH101" s="64"/>
      <c r="AI101" s="64"/>
      <c r="AJ101" s="365">
        <v>13</v>
      </c>
      <c r="AK101" s="372" t="s">
        <v>42</v>
      </c>
      <c r="AL101" s="365">
        <v>5122</v>
      </c>
      <c r="AM101" s="372" t="s">
        <v>167</v>
      </c>
      <c r="AN101" s="371" t="s">
        <v>168</v>
      </c>
      <c r="AO101" s="368">
        <f>Q101*12</f>
        <v>86945.292000000001</v>
      </c>
      <c r="AP101" s="368">
        <f>R101*12</f>
        <v>28981.763999999999</v>
      </c>
      <c r="AQ101" s="368">
        <f t="shared" ref="AQ101:AZ101" si="145">X101*12</f>
        <v>0</v>
      </c>
      <c r="AR101" s="368">
        <f t="shared" si="145"/>
        <v>3126.4800000000005</v>
      </c>
      <c r="AS101" s="368">
        <f t="shared" si="145"/>
        <v>0</v>
      </c>
      <c r="AT101" s="368">
        <f t="shared" si="145"/>
        <v>14490.881999999998</v>
      </c>
      <c r="AU101" s="368">
        <f t="shared" si="145"/>
        <v>2898.1763999999998</v>
      </c>
      <c r="AV101" s="368">
        <f t="shared" si="145"/>
        <v>20789.043064833309</v>
      </c>
      <c r="AW101" s="368">
        <f t="shared" si="145"/>
        <v>11007.549274636822</v>
      </c>
      <c r="AX101" s="368">
        <f t="shared" si="145"/>
        <v>6875.4211584239993</v>
      </c>
      <c r="AY101" s="368">
        <f t="shared" si="145"/>
        <v>0</v>
      </c>
      <c r="AZ101" s="368">
        <f t="shared" si="145"/>
        <v>3999.483432</v>
      </c>
      <c r="BB101" s="64"/>
      <c r="BC101" s="66"/>
      <c r="BD101" s="66"/>
      <c r="BE101" s="66"/>
    </row>
    <row r="102" spans="1:177" s="364" customFormat="1" ht="21" customHeight="1" x14ac:dyDescent="0.2">
      <c r="B102" s="369">
        <v>14</v>
      </c>
      <c r="C102" s="372" t="s">
        <v>42</v>
      </c>
      <c r="D102" s="365"/>
      <c r="E102" s="391" t="s">
        <v>55</v>
      </c>
      <c r="F102" s="372" t="s">
        <v>169</v>
      </c>
      <c r="G102" s="384"/>
      <c r="H102" s="56"/>
      <c r="I102" s="57">
        <v>6060.0204974237013</v>
      </c>
      <c r="J102" s="58">
        <v>8027.7325409749574</v>
      </c>
      <c r="K102" s="174">
        <f>J102-I102</f>
        <v>1967.7120435512561</v>
      </c>
      <c r="L102" s="173">
        <f>K102*100/I102</f>
        <v>32.470385939912084</v>
      </c>
      <c r="M102" s="60">
        <v>3.2469999999999999E-3</v>
      </c>
      <c r="N102" s="61">
        <f>I102*0.3247</f>
        <v>1967.6886555134756</v>
      </c>
      <c r="O102" s="58">
        <f t="shared" si="123"/>
        <v>8027.7091529371774</v>
      </c>
      <c r="P102" s="61">
        <f t="shared" si="124"/>
        <v>16055.418305874355</v>
      </c>
      <c r="Q102" s="61">
        <f t="shared" si="125"/>
        <v>12041.563729405767</v>
      </c>
      <c r="R102" s="61">
        <f t="shared" si="126"/>
        <v>4013.8545764685887</v>
      </c>
      <c r="S102" s="61">
        <f t="shared" si="127"/>
        <v>535.18061019581182</v>
      </c>
      <c r="T102" s="58">
        <f t="shared" si="128"/>
        <v>614.33382244377231</v>
      </c>
      <c r="U102" s="61">
        <f t="shared" si="129"/>
        <v>6020.7818647028835</v>
      </c>
      <c r="V102" s="58">
        <f t="shared" si="130"/>
        <v>2006.9272882342943</v>
      </c>
      <c r="W102" s="62">
        <v>0</v>
      </c>
      <c r="X102" s="63">
        <f>P102*W102</f>
        <v>0</v>
      </c>
      <c r="Y102" s="61">
        <v>1051</v>
      </c>
      <c r="Z102" s="61">
        <v>0</v>
      </c>
      <c r="AA102" s="61">
        <f t="shared" si="132"/>
        <v>2006.9272882342946</v>
      </c>
      <c r="AB102" s="61">
        <f t="shared" si="133"/>
        <v>401.38545764685887</v>
      </c>
      <c r="AC102" s="61">
        <v>2516.1826059771306</v>
      </c>
      <c r="AD102" s="61">
        <v>1610.1996653162494</v>
      </c>
      <c r="AE102" s="61">
        <v>952.21742478784711</v>
      </c>
      <c r="AF102" s="61">
        <v>0</v>
      </c>
      <c r="AG102" s="61">
        <f t="shared" si="134"/>
        <v>553.91193155266524</v>
      </c>
      <c r="AH102" s="64"/>
      <c r="AI102" s="64"/>
      <c r="AJ102" s="369">
        <v>14</v>
      </c>
      <c r="AK102" s="372" t="s">
        <v>42</v>
      </c>
      <c r="AL102" s="365"/>
      <c r="AM102" s="391" t="s">
        <v>55</v>
      </c>
      <c r="AN102" s="372" t="s">
        <v>169</v>
      </c>
      <c r="AO102" s="368">
        <f>Q102*4.5</f>
        <v>54187.036782325951</v>
      </c>
      <c r="AP102" s="368">
        <f>R102*4.5</f>
        <v>18062.34559410865</v>
      </c>
      <c r="AQ102" s="368">
        <f t="shared" ref="AQ102:AZ102" si="146">X102*4.5</f>
        <v>0</v>
      </c>
      <c r="AR102" s="368">
        <f t="shared" si="146"/>
        <v>4729.5</v>
      </c>
      <c r="AS102" s="368">
        <f t="shared" si="146"/>
        <v>0</v>
      </c>
      <c r="AT102" s="368">
        <f t="shared" si="146"/>
        <v>9031.1727970543252</v>
      </c>
      <c r="AU102" s="368">
        <f t="shared" si="146"/>
        <v>1806.2345594108649</v>
      </c>
      <c r="AV102" s="368">
        <f t="shared" si="146"/>
        <v>11322.821726897088</v>
      </c>
      <c r="AW102" s="368">
        <f t="shared" si="146"/>
        <v>7245.8984939231223</v>
      </c>
      <c r="AX102" s="368">
        <f t="shared" si="146"/>
        <v>4284.9784115453122</v>
      </c>
      <c r="AY102" s="368">
        <f t="shared" si="146"/>
        <v>0</v>
      </c>
      <c r="AZ102" s="368">
        <f t="shared" si="146"/>
        <v>2492.6036919869935</v>
      </c>
      <c r="BB102" s="64"/>
      <c r="BC102" s="66"/>
      <c r="BD102" s="66"/>
      <c r="BE102" s="66"/>
    </row>
    <row r="103" spans="1:177" s="364" customFormat="1" ht="21" customHeight="1" x14ac:dyDescent="0.2">
      <c r="B103" s="365">
        <v>15</v>
      </c>
      <c r="C103" s="372" t="s">
        <v>42</v>
      </c>
      <c r="D103" s="365">
        <v>1102</v>
      </c>
      <c r="E103" s="367" t="s">
        <v>170</v>
      </c>
      <c r="F103" s="371" t="s">
        <v>171</v>
      </c>
      <c r="G103" s="105">
        <v>43756</v>
      </c>
      <c r="H103" s="56" t="str">
        <f xml:space="preserve"> CONCATENATE(DATEDIF(G103,H$5,"Y")," AÑOS")</f>
        <v>5 AÑOS</v>
      </c>
      <c r="I103" s="57">
        <v>23037.284975716404</v>
      </c>
      <c r="J103" s="58"/>
      <c r="K103" s="58"/>
      <c r="L103" s="59"/>
      <c r="M103" s="60">
        <v>4.0000000000000002E-4</v>
      </c>
      <c r="N103" s="61">
        <f>I103*0.04</f>
        <v>921.49139902865613</v>
      </c>
      <c r="O103" s="58">
        <f t="shared" si="123"/>
        <v>23958.776374745059</v>
      </c>
      <c r="P103" s="61">
        <f t="shared" si="124"/>
        <v>47917.552749490118</v>
      </c>
      <c r="Q103" s="61">
        <f t="shared" si="125"/>
        <v>35938.164562117585</v>
      </c>
      <c r="R103" s="61">
        <f t="shared" si="126"/>
        <v>11979.38818737253</v>
      </c>
      <c r="S103" s="61">
        <f t="shared" si="127"/>
        <v>1597.2517583163374</v>
      </c>
      <c r="T103" s="58">
        <f t="shared" si="128"/>
        <v>1833.4852933713235</v>
      </c>
      <c r="U103" s="61">
        <f t="shared" si="129"/>
        <v>17969.082281058792</v>
      </c>
      <c r="V103" s="58">
        <f t="shared" si="130"/>
        <v>5989.6940936862648</v>
      </c>
      <c r="W103" s="62">
        <v>0</v>
      </c>
      <c r="X103" s="63">
        <f>P103*W103</f>
        <v>0</v>
      </c>
      <c r="Y103" s="61">
        <v>6140.7704810100568</v>
      </c>
      <c r="Z103" s="61">
        <v>0</v>
      </c>
      <c r="AA103" s="61">
        <f t="shared" si="132"/>
        <v>5989.6940936862657</v>
      </c>
      <c r="AB103" s="61">
        <f t="shared" si="133"/>
        <v>1197.9388187372531</v>
      </c>
      <c r="AC103" s="61">
        <v>6421.2653355226748</v>
      </c>
      <c r="AD103" s="61">
        <v>4805.6566281909072</v>
      </c>
      <c r="AE103" s="61">
        <v>2841.9022047255512</v>
      </c>
      <c r="AF103" s="61">
        <v>0</v>
      </c>
      <c r="AG103" s="61">
        <f t="shared" si="134"/>
        <v>1653.1555698574091</v>
      </c>
      <c r="AH103" s="64"/>
      <c r="AI103" s="64"/>
      <c r="AJ103" s="365">
        <v>15</v>
      </c>
      <c r="AK103" s="372" t="s">
        <v>42</v>
      </c>
      <c r="AL103" s="365">
        <v>1102</v>
      </c>
      <c r="AM103" s="367" t="s">
        <v>170</v>
      </c>
      <c r="AN103" s="371" t="s">
        <v>171</v>
      </c>
      <c r="AO103" s="368">
        <f t="shared" ref="AO103:AP105" si="147">Q103*12</f>
        <v>431257.97474541102</v>
      </c>
      <c r="AP103" s="368">
        <f t="shared" si="147"/>
        <v>143752.65824847034</v>
      </c>
      <c r="AQ103" s="368">
        <f t="shared" ref="AQ103:AZ105" si="148">X103*12</f>
        <v>0</v>
      </c>
      <c r="AR103" s="368">
        <f t="shared" si="148"/>
        <v>73689.245772120688</v>
      </c>
      <c r="AS103" s="368">
        <f t="shared" si="148"/>
        <v>0</v>
      </c>
      <c r="AT103" s="368">
        <f t="shared" si="148"/>
        <v>71876.329124235184</v>
      </c>
      <c r="AU103" s="368">
        <f t="shared" si="148"/>
        <v>14375.265824847036</v>
      </c>
      <c r="AV103" s="368">
        <f t="shared" si="148"/>
        <v>77055.184026272094</v>
      </c>
      <c r="AW103" s="368">
        <f t="shared" si="148"/>
        <v>57667.879538290887</v>
      </c>
      <c r="AX103" s="368">
        <f t="shared" si="148"/>
        <v>34102.826456706614</v>
      </c>
      <c r="AY103" s="368">
        <f t="shared" si="148"/>
        <v>0</v>
      </c>
      <c r="AZ103" s="368">
        <f t="shared" si="148"/>
        <v>19837.866838288908</v>
      </c>
      <c r="BB103" s="64"/>
      <c r="BC103" s="66"/>
      <c r="BD103" s="66"/>
      <c r="BE103" s="66"/>
    </row>
    <row r="104" spans="1:177" s="364" customFormat="1" ht="21" customHeight="1" x14ac:dyDescent="0.2">
      <c r="B104" s="369">
        <v>16</v>
      </c>
      <c r="C104" s="372" t="s">
        <v>42</v>
      </c>
      <c r="D104" s="365">
        <v>5118</v>
      </c>
      <c r="E104" s="372" t="s">
        <v>172</v>
      </c>
      <c r="F104" s="371" t="s">
        <v>173</v>
      </c>
      <c r="G104" s="384">
        <v>45292</v>
      </c>
      <c r="H104" s="56" t="str">
        <f xml:space="preserve"> CONCATENATE(DATEDIF(G104,H$5,"Y")," AÑOS")</f>
        <v>0 AÑOS</v>
      </c>
      <c r="I104" s="57">
        <v>6814</v>
      </c>
      <c r="J104" s="58"/>
      <c r="K104" s="58"/>
      <c r="L104" s="59"/>
      <c r="M104" s="60">
        <v>4.0000000000000002E-4</v>
      </c>
      <c r="N104" s="61">
        <f>I104*0.04</f>
        <v>272.56</v>
      </c>
      <c r="O104" s="58">
        <f t="shared" si="123"/>
        <v>7086.56</v>
      </c>
      <c r="P104" s="61">
        <f t="shared" si="124"/>
        <v>14173.12</v>
      </c>
      <c r="Q104" s="61">
        <f t="shared" si="125"/>
        <v>10629.84</v>
      </c>
      <c r="R104" s="61">
        <f t="shared" si="126"/>
        <v>3543.28</v>
      </c>
      <c r="S104" s="61">
        <f t="shared" si="127"/>
        <v>472.43733333333336</v>
      </c>
      <c r="T104" s="58">
        <f t="shared" si="128"/>
        <v>542.31081493333329</v>
      </c>
      <c r="U104" s="61">
        <f t="shared" si="129"/>
        <v>5314.92</v>
      </c>
      <c r="V104" s="58">
        <f t="shared" si="130"/>
        <v>1771.64</v>
      </c>
      <c r="W104" s="62">
        <v>0</v>
      </c>
      <c r="X104" s="63">
        <f>P104*W104</f>
        <v>0</v>
      </c>
      <c r="Y104" s="61">
        <v>843.57</v>
      </c>
      <c r="Z104" s="61"/>
      <c r="AA104" s="61">
        <f t="shared" si="132"/>
        <v>1771.64</v>
      </c>
      <c r="AB104" s="61">
        <f t="shared" si="133"/>
        <v>354.32800000000003</v>
      </c>
      <c r="AC104" s="61">
        <v>2285.4846086684283</v>
      </c>
      <c r="AD104" s="61">
        <v>1421.4237614810131</v>
      </c>
      <c r="AE104" s="61">
        <v>840.58176314666662</v>
      </c>
      <c r="AF104" s="61">
        <v>0</v>
      </c>
      <c r="AG104" s="61">
        <f t="shared" si="134"/>
        <v>488.97263999999996</v>
      </c>
      <c r="AH104" s="64"/>
      <c r="AI104" s="64"/>
      <c r="AJ104" s="369">
        <v>16</v>
      </c>
      <c r="AK104" s="372" t="s">
        <v>42</v>
      </c>
      <c r="AL104" s="365">
        <v>5118</v>
      </c>
      <c r="AM104" s="372" t="s">
        <v>172</v>
      </c>
      <c r="AN104" s="371" t="s">
        <v>173</v>
      </c>
      <c r="AO104" s="368">
        <f t="shared" si="147"/>
        <v>127558.08</v>
      </c>
      <c r="AP104" s="368">
        <f t="shared" si="147"/>
        <v>42519.360000000001</v>
      </c>
      <c r="AQ104" s="368">
        <f t="shared" si="148"/>
        <v>0</v>
      </c>
      <c r="AR104" s="368">
        <f t="shared" si="148"/>
        <v>10122.84</v>
      </c>
      <c r="AS104" s="368">
        <f t="shared" si="148"/>
        <v>0</v>
      </c>
      <c r="AT104" s="368">
        <f t="shared" si="148"/>
        <v>21259.68</v>
      </c>
      <c r="AU104" s="368">
        <f t="shared" si="148"/>
        <v>4251.9360000000006</v>
      </c>
      <c r="AV104" s="368">
        <f t="shared" si="148"/>
        <v>27425.81530402114</v>
      </c>
      <c r="AW104" s="368">
        <f t="shared" si="148"/>
        <v>17057.085137772156</v>
      </c>
      <c r="AX104" s="368">
        <f t="shared" si="148"/>
        <v>10086.981157759999</v>
      </c>
      <c r="AY104" s="368">
        <f t="shared" si="148"/>
        <v>0</v>
      </c>
      <c r="AZ104" s="368">
        <f t="shared" si="148"/>
        <v>5867.6716799999995</v>
      </c>
      <c r="BB104" s="64"/>
      <c r="BC104" s="66"/>
      <c r="BD104" s="66"/>
      <c r="BE104" s="66"/>
    </row>
    <row r="105" spans="1:177" ht="21" customHeight="1" x14ac:dyDescent="0.2">
      <c r="B105" s="67">
        <v>17</v>
      </c>
      <c r="C105" s="73" t="s">
        <v>42</v>
      </c>
      <c r="D105" s="67">
        <v>5120</v>
      </c>
      <c r="E105" s="77" t="s">
        <v>174</v>
      </c>
      <c r="F105" s="72" t="s">
        <v>175</v>
      </c>
      <c r="G105" s="55">
        <v>44382</v>
      </c>
      <c r="H105" s="56" t="str">
        <f xml:space="preserve"> CONCATENATE(DATEDIF(G105,H$5,"Y")," AÑOS")</f>
        <v>3 AÑOS</v>
      </c>
      <c r="I105" s="57">
        <v>3990</v>
      </c>
      <c r="J105" s="58"/>
      <c r="K105" s="174"/>
      <c r="L105" s="173"/>
      <c r="M105" s="60">
        <v>4.0000000000000002E-4</v>
      </c>
      <c r="N105" s="61">
        <f>I105*0.04</f>
        <v>159.6</v>
      </c>
      <c r="O105" s="58">
        <f t="shared" si="123"/>
        <v>4149.6000000000004</v>
      </c>
      <c r="P105" s="61">
        <f t="shared" si="124"/>
        <v>8299.2000000000007</v>
      </c>
      <c r="Q105" s="61">
        <f t="shared" si="125"/>
        <v>6224.4000000000005</v>
      </c>
      <c r="R105" s="61">
        <f t="shared" si="126"/>
        <v>2074.8000000000002</v>
      </c>
      <c r="S105" s="61">
        <f t="shared" si="127"/>
        <v>276.64000000000004</v>
      </c>
      <c r="T105" s="58">
        <f t="shared" si="128"/>
        <v>317.55505600000004</v>
      </c>
      <c r="U105" s="61">
        <f t="shared" si="129"/>
        <v>3112.2000000000003</v>
      </c>
      <c r="V105" s="58">
        <f t="shared" si="130"/>
        <v>1037.4000000000001</v>
      </c>
      <c r="W105" s="62">
        <v>0</v>
      </c>
      <c r="X105" s="63"/>
      <c r="Y105" s="61">
        <v>542</v>
      </c>
      <c r="Z105" s="61">
        <v>0</v>
      </c>
      <c r="AA105" s="61">
        <f t="shared" si="132"/>
        <v>1037.4000000000001</v>
      </c>
      <c r="AB105" s="61">
        <f t="shared" si="133"/>
        <v>207.48000000000005</v>
      </c>
      <c r="AC105" s="61">
        <v>1573.1105974259567</v>
      </c>
      <c r="AD105" s="61">
        <v>776.21570113360019</v>
      </c>
      <c r="AE105" s="61">
        <v>492.21033680000011</v>
      </c>
      <c r="AF105" s="61">
        <v>0</v>
      </c>
      <c r="AG105" s="61">
        <f t="shared" si="134"/>
        <v>286.32239999999996</v>
      </c>
      <c r="AH105" s="64"/>
      <c r="AI105" s="64"/>
      <c r="AJ105" s="67">
        <v>17</v>
      </c>
      <c r="AK105" s="73" t="s">
        <v>42</v>
      </c>
      <c r="AL105" s="67">
        <v>5120</v>
      </c>
      <c r="AM105" s="77" t="s">
        <v>174</v>
      </c>
      <c r="AN105" s="72" t="s">
        <v>175</v>
      </c>
      <c r="AO105" s="65">
        <f t="shared" si="147"/>
        <v>74692.800000000003</v>
      </c>
      <c r="AP105" s="65">
        <f t="shared" si="147"/>
        <v>24897.600000000002</v>
      </c>
      <c r="AQ105" s="65">
        <f t="shared" si="148"/>
        <v>0</v>
      </c>
      <c r="AR105" s="65">
        <f t="shared" si="148"/>
        <v>6504</v>
      </c>
      <c r="AS105" s="65">
        <f t="shared" si="148"/>
        <v>0</v>
      </c>
      <c r="AT105" s="65">
        <f t="shared" si="148"/>
        <v>12448.800000000001</v>
      </c>
      <c r="AU105" s="65">
        <f t="shared" si="148"/>
        <v>2489.7600000000007</v>
      </c>
      <c r="AV105" s="65">
        <f t="shared" si="148"/>
        <v>18877.327169111479</v>
      </c>
      <c r="AW105" s="65">
        <f t="shared" si="148"/>
        <v>9314.5884136032018</v>
      </c>
      <c r="AX105" s="65">
        <f t="shared" si="148"/>
        <v>5906.5240416000015</v>
      </c>
      <c r="AY105" s="65">
        <f t="shared" si="148"/>
        <v>0</v>
      </c>
      <c r="AZ105" s="65">
        <f t="shared" si="148"/>
        <v>3435.8687999999993</v>
      </c>
      <c r="BB105" s="64"/>
      <c r="BC105" s="66"/>
      <c r="BD105" s="66"/>
      <c r="BE105" s="66"/>
    </row>
    <row r="106" spans="1:177" s="96" customFormat="1" ht="21" customHeight="1" x14ac:dyDescent="0.2">
      <c r="A106" s="50"/>
      <c r="B106" s="468" t="s">
        <v>65</v>
      </c>
      <c r="C106" s="469"/>
      <c r="D106" s="469"/>
      <c r="E106" s="469"/>
      <c r="F106" s="470"/>
      <c r="G106" s="139"/>
      <c r="H106" s="90"/>
      <c r="I106" s="91">
        <f>SUM(I89:I105)</f>
        <v>149012.83390964108</v>
      </c>
      <c r="J106" s="91">
        <f t="shared" ref="J106:AG106" si="149">SUM(J89:J105)</f>
        <v>12857.732540974957</v>
      </c>
      <c r="K106" s="91">
        <f t="shared" si="149"/>
        <v>2807.7120435512561</v>
      </c>
      <c r="L106" s="91">
        <f t="shared" si="149"/>
        <v>53.523017518859454</v>
      </c>
      <c r="M106" s="91">
        <f t="shared" si="149"/>
        <v>1.1351999999999999E-2</v>
      </c>
      <c r="N106" s="91">
        <f t="shared" si="149"/>
        <v>8366.4951920021704</v>
      </c>
      <c r="O106" s="91">
        <f t="shared" si="149"/>
        <v>157379.32910164326</v>
      </c>
      <c r="P106" s="91">
        <f t="shared" si="149"/>
        <v>314758.65820328653</v>
      </c>
      <c r="Q106" s="91">
        <f t="shared" si="149"/>
        <v>236068.99365246488</v>
      </c>
      <c r="R106" s="91">
        <f t="shared" si="149"/>
        <v>78689.664550821632</v>
      </c>
      <c r="S106" s="91">
        <f t="shared" si="149"/>
        <v>10491.955273442882</v>
      </c>
      <c r="T106" s="91">
        <f t="shared" si="149"/>
        <v>12043.715458385082</v>
      </c>
      <c r="U106" s="91">
        <f t="shared" si="149"/>
        <v>118034.49682623244</v>
      </c>
      <c r="V106" s="91">
        <f t="shared" si="149"/>
        <v>39344.832275410816</v>
      </c>
      <c r="W106" s="91">
        <f t="shared" si="149"/>
        <v>0</v>
      </c>
      <c r="X106" s="91">
        <f t="shared" si="149"/>
        <v>0</v>
      </c>
      <c r="Y106" s="91">
        <f t="shared" si="149"/>
        <v>26322.033606937584</v>
      </c>
      <c r="Z106" s="91">
        <f t="shared" si="149"/>
        <v>0</v>
      </c>
      <c r="AA106" s="91">
        <f t="shared" si="149"/>
        <v>39344.832275410816</v>
      </c>
      <c r="AB106" s="91">
        <f t="shared" si="149"/>
        <v>7868.9664550821635</v>
      </c>
      <c r="AC106" s="91">
        <f t="shared" si="149"/>
        <v>47912.105119162537</v>
      </c>
      <c r="AD106" s="91">
        <f t="shared" si="149"/>
        <v>31292.598561046074</v>
      </c>
      <c r="AE106" s="91">
        <f t="shared" si="149"/>
        <v>18667.758960496882</v>
      </c>
      <c r="AF106" s="91">
        <f t="shared" si="149"/>
        <v>0</v>
      </c>
      <c r="AG106" s="91">
        <f t="shared" si="149"/>
        <v>10859.173708013383</v>
      </c>
      <c r="AH106" s="92"/>
      <c r="AI106" s="92"/>
      <c r="AJ106" s="468" t="s">
        <v>65</v>
      </c>
      <c r="AK106" s="469"/>
      <c r="AL106" s="469"/>
      <c r="AM106" s="469"/>
      <c r="AN106" s="470"/>
      <c r="AO106" s="175">
        <f>SUM(AO89:AO105)+21445.83+46683</f>
        <v>2336718.7383657941</v>
      </c>
      <c r="AP106" s="175">
        <f>SUM(AP89:AP105)+7148.61+15561</f>
        <v>778906.24612193147</v>
      </c>
      <c r="AQ106" s="175">
        <f t="shared" ref="AQ106:AY106" si="150">SUM(AQ89:AQ105)</f>
        <v>0</v>
      </c>
      <c r="AR106" s="175">
        <f>SUM(AR89:AR105)+1707.47+863.58</f>
        <v>269755.04169596784</v>
      </c>
      <c r="AS106" s="175">
        <f t="shared" si="150"/>
        <v>0</v>
      </c>
      <c r="AT106" s="175">
        <f>SUM(AT89:AT105)+3574.3+7780.5</f>
        <v>389453.11806096573</v>
      </c>
      <c r="AU106" s="175">
        <f>SUM(AU89:AU105)+714.86+1556.1</f>
        <v>77890.623612193143</v>
      </c>
      <c r="AV106" s="175">
        <f>SUM(AV89:AV105)+4517.72+11798.33</f>
        <v>470232.29687854653</v>
      </c>
      <c r="AW106" s="175">
        <f>SUM(AW89:AW105)+2799.28+5821.62</f>
        <v>309933.87420574378</v>
      </c>
      <c r="AX106" s="175">
        <f>SUM(AX89:AX105)+1655.4+3691.58</f>
        <v>184741.52451156874</v>
      </c>
      <c r="AY106" s="175">
        <f t="shared" si="150"/>
        <v>0</v>
      </c>
      <c r="AZ106" s="175">
        <f>SUM(AZ89:AZ105)+986.51+2147.42</f>
        <v>107489.06578482653</v>
      </c>
      <c r="BA106" s="94"/>
      <c r="BB106" s="92"/>
      <c r="BC106" s="95"/>
      <c r="BD106" s="95"/>
      <c r="BE106" s="95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  <c r="FP106" s="50"/>
      <c r="FQ106" s="50"/>
      <c r="FR106" s="50"/>
      <c r="FS106" s="50"/>
      <c r="FT106" s="50"/>
      <c r="FU106" s="50"/>
    </row>
    <row r="107" spans="1:177" s="364" customFormat="1" ht="21" customHeight="1" x14ac:dyDescent="0.2">
      <c r="B107" s="369">
        <v>18</v>
      </c>
      <c r="C107" s="372" t="s">
        <v>66</v>
      </c>
      <c r="D107" s="365">
        <v>22014</v>
      </c>
      <c r="E107" s="393" t="s">
        <v>176</v>
      </c>
      <c r="F107" s="373" t="s">
        <v>177</v>
      </c>
      <c r="G107" s="55">
        <v>43430</v>
      </c>
      <c r="H107" s="56" t="str">
        <f t="shared" ref="H107:H132" si="151" xml:space="preserve"> CONCATENATE(DATEDIF(G107,H$5,"Y")," AÑOS")</f>
        <v>6 AÑOS</v>
      </c>
      <c r="I107" s="57">
        <v>6060.0204974237013</v>
      </c>
      <c r="J107" s="57"/>
      <c r="K107" s="57"/>
      <c r="L107" s="74"/>
      <c r="M107" s="60">
        <v>4.0000000000000002E-4</v>
      </c>
      <c r="N107" s="61">
        <f t="shared" ref="N107:N112" si="152">I107*0.04</f>
        <v>242.40081989694806</v>
      </c>
      <c r="O107" s="58">
        <f t="shared" ref="O107:O132" si="153">I107+N107</f>
        <v>6302.421317320649</v>
      </c>
      <c r="P107" s="61">
        <f t="shared" ref="P107:P132" si="154">O107*2</f>
        <v>12604.842634641298</v>
      </c>
      <c r="Q107" s="61">
        <f t="shared" ref="Q107:Q132" si="155">P107*0.75</f>
        <v>9453.6319759809739</v>
      </c>
      <c r="R107" s="61">
        <f t="shared" ref="R107:R132" si="156">P107*0.25</f>
        <v>3151.2106586603245</v>
      </c>
      <c r="S107" s="61">
        <f t="shared" ref="S107:S132" si="157">(P107/30)</f>
        <v>420.16142115470996</v>
      </c>
      <c r="T107" s="58">
        <f t="shared" ref="T107:T132" si="158">S107*1.1479</f>
        <v>482.30329534349153</v>
      </c>
      <c r="U107" s="61">
        <f t="shared" ref="U107:U132" si="159">O107*0.75</f>
        <v>4726.815987990487</v>
      </c>
      <c r="V107" s="58">
        <f t="shared" ref="V107:V132" si="160">O107*0.25</f>
        <v>1575.6053293301622</v>
      </c>
      <c r="W107" s="62">
        <v>2.5000000000000001E-2</v>
      </c>
      <c r="X107" s="63">
        <f t="shared" ref="X107:X132" si="161">P107*W107</f>
        <v>315.1210658660325</v>
      </c>
      <c r="Y107" s="61">
        <v>715.59442298672991</v>
      </c>
      <c r="Z107" s="61">
        <v>0</v>
      </c>
      <c r="AA107" s="61">
        <f t="shared" ref="AA107:AA132" si="162">(S107*45)/12</f>
        <v>1575.6053293301622</v>
      </c>
      <c r="AB107" s="61">
        <f t="shared" ref="AB107:AB132" si="163">(S107*10)*(0.45*2)/12</f>
        <v>315.12106586603244</v>
      </c>
      <c r="AC107" s="61">
        <v>2093.2736045551565</v>
      </c>
      <c r="AD107" s="61">
        <v>1264.1410522600584</v>
      </c>
      <c r="AE107" s="61">
        <v>747.57010778241192</v>
      </c>
      <c r="AF107" s="61">
        <v>0</v>
      </c>
      <c r="AG107" s="61">
        <f t="shared" ref="AG107:AG132" si="164">(P107+AA107+AB107)*0.03</f>
        <v>434.86707089512481</v>
      </c>
      <c r="AH107" s="64"/>
      <c r="AI107" s="64"/>
      <c r="AJ107" s="369">
        <v>18</v>
      </c>
      <c r="AK107" s="372" t="s">
        <v>66</v>
      </c>
      <c r="AL107" s="365">
        <v>22014</v>
      </c>
      <c r="AM107" s="393" t="s">
        <v>176</v>
      </c>
      <c r="AN107" s="373" t="s">
        <v>177</v>
      </c>
      <c r="AO107" s="368">
        <f t="shared" ref="AO107:AP108" si="165">Q107*3</f>
        <v>28360.895927942922</v>
      </c>
      <c r="AP107" s="368">
        <f t="shared" si="165"/>
        <v>9453.6319759809739</v>
      </c>
      <c r="AQ107" s="368">
        <f t="shared" ref="AQ107:AZ108" si="166">X107*3</f>
        <v>945.36319759809749</v>
      </c>
      <c r="AR107" s="368">
        <f t="shared" si="166"/>
        <v>2146.7832689601896</v>
      </c>
      <c r="AS107" s="368">
        <f t="shared" si="166"/>
        <v>0</v>
      </c>
      <c r="AT107" s="368">
        <f t="shared" si="166"/>
        <v>4726.815987990487</v>
      </c>
      <c r="AU107" s="368">
        <f t="shared" si="166"/>
        <v>945.36319759809726</v>
      </c>
      <c r="AV107" s="368">
        <f t="shared" si="166"/>
        <v>6279.8208136654694</v>
      </c>
      <c r="AW107" s="368">
        <f t="shared" si="166"/>
        <v>3792.4231567801753</v>
      </c>
      <c r="AX107" s="368">
        <f t="shared" si="166"/>
        <v>2242.7103233472358</v>
      </c>
      <c r="AY107" s="368">
        <f t="shared" si="166"/>
        <v>0</v>
      </c>
      <c r="AZ107" s="368">
        <f t="shared" si="166"/>
        <v>1304.6012126853743</v>
      </c>
      <c r="BB107" s="64"/>
      <c r="BC107" s="66"/>
      <c r="BD107" s="66"/>
      <c r="BE107" s="66"/>
    </row>
    <row r="108" spans="1:177" s="364" customFormat="1" ht="21" customHeight="1" x14ac:dyDescent="0.2">
      <c r="B108" s="369">
        <v>19</v>
      </c>
      <c r="C108" s="372" t="s">
        <v>66</v>
      </c>
      <c r="D108" s="365">
        <v>25005</v>
      </c>
      <c r="E108" s="394" t="s">
        <v>178</v>
      </c>
      <c r="F108" s="371" t="s">
        <v>179</v>
      </c>
      <c r="G108" s="363">
        <v>44652</v>
      </c>
      <c r="H108" s="56" t="str">
        <f xml:space="preserve"> CONCATENATE(DATEDIF(G108,H$5,"Y")," AÑOS")</f>
        <v>2 AÑOS</v>
      </c>
      <c r="I108" s="57">
        <v>6966.6641650654874</v>
      </c>
      <c r="J108" s="387"/>
      <c r="K108" s="57"/>
      <c r="L108" s="59"/>
      <c r="M108" s="60">
        <v>4.0000000000000002E-4</v>
      </c>
      <c r="N108" s="61">
        <f t="shared" si="152"/>
        <v>278.66656660261953</v>
      </c>
      <c r="O108" s="58">
        <f>I108+N108</f>
        <v>7245.3307316681066</v>
      </c>
      <c r="P108" s="61">
        <f>O108*2</f>
        <v>14490.661463336213</v>
      </c>
      <c r="Q108" s="61">
        <f>P108*0.75</f>
        <v>10867.99609750216</v>
      </c>
      <c r="R108" s="61">
        <f>P108*0.25</f>
        <v>3622.6653658340533</v>
      </c>
      <c r="S108" s="61">
        <f>(P108/30)</f>
        <v>483.02204877787375</v>
      </c>
      <c r="T108" s="58">
        <f>S108*1.1479</f>
        <v>554.46100979212122</v>
      </c>
      <c r="U108" s="61">
        <f>O108*0.75</f>
        <v>5433.9980487510802</v>
      </c>
      <c r="V108" s="58">
        <f>O108*0.25</f>
        <v>1811.3326829170267</v>
      </c>
      <c r="W108" s="101">
        <v>0</v>
      </c>
      <c r="X108" s="63">
        <f>P108*W108</f>
        <v>0</v>
      </c>
      <c r="Y108" s="61">
        <v>869.47723940823494</v>
      </c>
      <c r="Z108" s="61">
        <v>0</v>
      </c>
      <c r="AA108" s="61">
        <f>(S108*45)/12</f>
        <v>1811.3326829170264</v>
      </c>
      <c r="AB108" s="61">
        <f>(S108*10)*(0.45*2)/12</f>
        <v>362.2665365834053</v>
      </c>
      <c r="AC108" s="61">
        <v>2324.4030837185937</v>
      </c>
      <c r="AD108" s="61">
        <v>1453.2700297156393</v>
      </c>
      <c r="AE108" s="61">
        <v>859.41456517778795</v>
      </c>
      <c r="AF108" s="61">
        <v>0</v>
      </c>
      <c r="AG108" s="61">
        <f>(P108+AA108+AB108)*0.03</f>
        <v>499.92782048509929</v>
      </c>
      <c r="AH108" s="64"/>
      <c r="AI108" s="64"/>
      <c r="AJ108" s="369">
        <v>19</v>
      </c>
      <c r="AK108" s="372" t="s">
        <v>66</v>
      </c>
      <c r="AL108" s="365">
        <v>25005</v>
      </c>
      <c r="AM108" s="394" t="s">
        <v>178</v>
      </c>
      <c r="AN108" s="371" t="s">
        <v>179</v>
      </c>
      <c r="AO108" s="368">
        <f t="shared" si="165"/>
        <v>32603.988292506481</v>
      </c>
      <c r="AP108" s="368">
        <f t="shared" si="165"/>
        <v>10867.99609750216</v>
      </c>
      <c r="AQ108" s="368">
        <f t="shared" si="166"/>
        <v>0</v>
      </c>
      <c r="AR108" s="368">
        <f t="shared" si="166"/>
        <v>2608.431718224705</v>
      </c>
      <c r="AS108" s="368">
        <f t="shared" si="166"/>
        <v>0</v>
      </c>
      <c r="AT108" s="368">
        <f t="shared" si="166"/>
        <v>5433.9980487510793</v>
      </c>
      <c r="AU108" s="368">
        <f t="shared" si="166"/>
        <v>1086.799609750216</v>
      </c>
      <c r="AV108" s="368">
        <f t="shared" si="166"/>
        <v>6973.2092511557812</v>
      </c>
      <c r="AW108" s="368">
        <f t="shared" si="166"/>
        <v>4359.8100891469185</v>
      </c>
      <c r="AX108" s="368">
        <f t="shared" si="166"/>
        <v>2578.2436955333637</v>
      </c>
      <c r="AY108" s="368">
        <f t="shared" si="166"/>
        <v>0</v>
      </c>
      <c r="AZ108" s="368">
        <f t="shared" si="166"/>
        <v>1499.7834614552978</v>
      </c>
      <c r="BB108" s="64"/>
      <c r="BC108" s="66"/>
      <c r="BD108" s="66"/>
      <c r="BE108" s="66"/>
    </row>
    <row r="109" spans="1:177" s="364" customFormat="1" ht="21" customHeight="1" x14ac:dyDescent="0.2">
      <c r="B109" s="365">
        <v>20</v>
      </c>
      <c r="C109" s="372" t="s">
        <v>66</v>
      </c>
      <c r="D109" s="365">
        <v>5126</v>
      </c>
      <c r="E109" s="364" t="s">
        <v>180</v>
      </c>
      <c r="F109" s="371" t="s">
        <v>181</v>
      </c>
      <c r="G109" s="55">
        <v>45551</v>
      </c>
      <c r="H109" s="56"/>
      <c r="I109" s="57">
        <v>11787.571042370293</v>
      </c>
      <c r="J109" s="58"/>
      <c r="K109" s="58"/>
      <c r="L109" s="59"/>
      <c r="M109" s="60">
        <v>4.0000000000000002E-4</v>
      </c>
      <c r="N109" s="61">
        <f t="shared" si="152"/>
        <v>471.50284169481171</v>
      </c>
      <c r="O109" s="58">
        <f t="shared" si="153"/>
        <v>12259.073884065105</v>
      </c>
      <c r="P109" s="61">
        <f t="shared" si="154"/>
        <v>24518.147768130209</v>
      </c>
      <c r="Q109" s="61">
        <f t="shared" si="155"/>
        <v>18388.610826097658</v>
      </c>
      <c r="R109" s="61">
        <f t="shared" si="156"/>
        <v>6129.5369420325524</v>
      </c>
      <c r="S109" s="61">
        <f t="shared" si="157"/>
        <v>817.27159227100697</v>
      </c>
      <c r="T109" s="58">
        <f t="shared" si="158"/>
        <v>938.1460607678888</v>
      </c>
      <c r="U109" s="61">
        <f t="shared" si="159"/>
        <v>9194.305413048829</v>
      </c>
      <c r="V109" s="58">
        <f t="shared" si="160"/>
        <v>3064.7684710162762</v>
      </c>
      <c r="W109" s="101">
        <v>7.4999999999999997E-2</v>
      </c>
      <c r="X109" s="63">
        <f t="shared" si="161"/>
        <v>1838.8610826097656</v>
      </c>
      <c r="Y109" s="61">
        <v>2281.68332045446</v>
      </c>
      <c r="Z109" s="61">
        <v>0</v>
      </c>
      <c r="AA109" s="61">
        <f t="shared" si="162"/>
        <v>3064.7684710162762</v>
      </c>
      <c r="AB109" s="61">
        <f t="shared" si="163"/>
        <v>612.95369420325517</v>
      </c>
      <c r="AC109" s="61">
        <v>3553.3905408803544</v>
      </c>
      <c r="AD109" s="61">
        <v>2458.9277325756748</v>
      </c>
      <c r="AE109" s="61">
        <v>1454.1263941902278</v>
      </c>
      <c r="AF109" s="61">
        <v>0</v>
      </c>
      <c r="AG109" s="61">
        <f t="shared" si="164"/>
        <v>845.87609800049211</v>
      </c>
      <c r="AH109" s="64"/>
      <c r="AI109" s="64"/>
      <c r="AJ109" s="365">
        <v>20</v>
      </c>
      <c r="AK109" s="372" t="s">
        <v>66</v>
      </c>
      <c r="AL109" s="365">
        <v>5126</v>
      </c>
      <c r="AM109" s="364" t="s">
        <v>180</v>
      </c>
      <c r="AN109" s="371" t="s">
        <v>181</v>
      </c>
      <c r="AO109" s="395">
        <f t="shared" ref="AO109:AP112" si="167">Q109*12</f>
        <v>220663.32991317188</v>
      </c>
      <c r="AP109" s="395">
        <f t="shared" si="167"/>
        <v>73554.443304390632</v>
      </c>
      <c r="AQ109" s="395">
        <f t="shared" ref="AQ109:AZ112" si="168">X109*12</f>
        <v>22066.332991317187</v>
      </c>
      <c r="AR109" s="395">
        <f t="shared" si="168"/>
        <v>27380.199845453521</v>
      </c>
      <c r="AS109" s="395">
        <f t="shared" si="168"/>
        <v>0</v>
      </c>
      <c r="AT109" s="395">
        <f t="shared" si="168"/>
        <v>36777.221652195316</v>
      </c>
      <c r="AU109" s="395">
        <f t="shared" si="168"/>
        <v>7355.4443304390625</v>
      </c>
      <c r="AV109" s="395">
        <f t="shared" si="168"/>
        <v>42640.686490564251</v>
      </c>
      <c r="AW109" s="395">
        <f t="shared" si="168"/>
        <v>29507.132790908097</v>
      </c>
      <c r="AX109" s="395">
        <f t="shared" si="168"/>
        <v>17449.516730282732</v>
      </c>
      <c r="AY109" s="395">
        <f t="shared" si="168"/>
        <v>0</v>
      </c>
      <c r="AZ109" s="395">
        <f t="shared" si="168"/>
        <v>10150.513176005905</v>
      </c>
      <c r="BB109" s="64"/>
      <c r="BC109" s="66"/>
      <c r="BD109" s="66"/>
      <c r="BE109" s="66"/>
    </row>
    <row r="110" spans="1:177" s="364" customFormat="1" ht="21" customHeight="1" x14ac:dyDescent="0.2">
      <c r="B110" s="369">
        <v>21</v>
      </c>
      <c r="C110" s="372" t="s">
        <v>66</v>
      </c>
      <c r="D110" s="365">
        <v>1096</v>
      </c>
      <c r="E110" s="394" t="s">
        <v>182</v>
      </c>
      <c r="F110" s="371" t="s">
        <v>183</v>
      </c>
      <c r="G110" s="384">
        <v>43481</v>
      </c>
      <c r="H110" s="56" t="str">
        <f t="shared" si="151"/>
        <v>5 AÑOS</v>
      </c>
      <c r="I110" s="57">
        <v>5775.1716344683564</v>
      </c>
      <c r="J110" s="58"/>
      <c r="K110" s="58"/>
      <c r="L110" s="59"/>
      <c r="M110" s="60">
        <v>4.0000000000000002E-4</v>
      </c>
      <c r="N110" s="61">
        <f t="shared" si="152"/>
        <v>231.00686537873426</v>
      </c>
      <c r="O110" s="58">
        <f t="shared" si="153"/>
        <v>6006.1784998470903</v>
      </c>
      <c r="P110" s="61">
        <f t="shared" si="154"/>
        <v>12012.356999694181</v>
      </c>
      <c r="Q110" s="61">
        <f t="shared" si="155"/>
        <v>9009.2677497706354</v>
      </c>
      <c r="R110" s="61">
        <f t="shared" si="156"/>
        <v>3003.0892499235451</v>
      </c>
      <c r="S110" s="61">
        <f t="shared" si="157"/>
        <v>400.41189998980605</v>
      </c>
      <c r="T110" s="58">
        <f t="shared" si="158"/>
        <v>459.63281999829832</v>
      </c>
      <c r="U110" s="61">
        <f t="shared" si="159"/>
        <v>4504.6338748853177</v>
      </c>
      <c r="V110" s="58">
        <f t="shared" si="160"/>
        <v>1501.5446249617726</v>
      </c>
      <c r="W110" s="101">
        <v>2.5000000000000001E-2</v>
      </c>
      <c r="X110" s="63">
        <f t="shared" si="161"/>
        <v>300.30892499235455</v>
      </c>
      <c r="Y110" s="61">
        <v>667.24759517504503</v>
      </c>
      <c r="Z110" s="61">
        <v>0</v>
      </c>
      <c r="AA110" s="61">
        <f t="shared" si="162"/>
        <v>1501.5446249617726</v>
      </c>
      <c r="AB110" s="61">
        <f t="shared" si="163"/>
        <v>300.30892499235455</v>
      </c>
      <c r="AC110" s="61">
        <v>2020.6574581186953</v>
      </c>
      <c r="AD110" s="61">
        <v>1204.7206028565399</v>
      </c>
      <c r="AE110" s="61">
        <v>712.43087099736249</v>
      </c>
      <c r="AF110" s="61">
        <v>0</v>
      </c>
      <c r="AG110" s="61">
        <f t="shared" si="164"/>
        <v>414.42631648944922</v>
      </c>
      <c r="AH110" s="64"/>
      <c r="AI110" s="64"/>
      <c r="AJ110" s="369">
        <v>21</v>
      </c>
      <c r="AK110" s="372" t="s">
        <v>66</v>
      </c>
      <c r="AL110" s="365">
        <v>1096</v>
      </c>
      <c r="AM110" s="394" t="s">
        <v>182</v>
      </c>
      <c r="AN110" s="371" t="s">
        <v>183</v>
      </c>
      <c r="AO110" s="395">
        <f t="shared" si="167"/>
        <v>108111.21299724763</v>
      </c>
      <c r="AP110" s="395">
        <f t="shared" si="167"/>
        <v>36037.070999082542</v>
      </c>
      <c r="AQ110" s="395">
        <f t="shared" si="168"/>
        <v>3603.7070999082543</v>
      </c>
      <c r="AR110" s="395">
        <f t="shared" si="168"/>
        <v>8006.9711421005404</v>
      </c>
      <c r="AS110" s="395">
        <f t="shared" si="168"/>
        <v>0</v>
      </c>
      <c r="AT110" s="395">
        <f t="shared" si="168"/>
        <v>18018.535499541271</v>
      </c>
      <c r="AU110" s="395">
        <f t="shared" si="168"/>
        <v>3603.7070999082543</v>
      </c>
      <c r="AV110" s="395">
        <f t="shared" si="168"/>
        <v>24247.889497424345</v>
      </c>
      <c r="AW110" s="395">
        <f t="shared" si="168"/>
        <v>14456.64723427848</v>
      </c>
      <c r="AX110" s="395">
        <f t="shared" si="168"/>
        <v>8549.1704519683499</v>
      </c>
      <c r="AY110" s="395">
        <f t="shared" si="168"/>
        <v>0</v>
      </c>
      <c r="AZ110" s="395">
        <f t="shared" si="168"/>
        <v>4973.1157978733909</v>
      </c>
      <c r="BB110" s="64"/>
      <c r="BC110" s="66"/>
      <c r="BD110" s="66"/>
      <c r="BE110" s="66"/>
    </row>
    <row r="111" spans="1:177" s="364" customFormat="1" ht="21" customHeight="1" x14ac:dyDescent="0.2">
      <c r="B111" s="369">
        <v>22</v>
      </c>
      <c r="C111" s="372" t="s">
        <v>66</v>
      </c>
      <c r="D111" s="365">
        <v>9008</v>
      </c>
      <c r="E111" s="394" t="s">
        <v>184</v>
      </c>
      <c r="F111" s="371" t="s">
        <v>185</v>
      </c>
      <c r="G111" s="55">
        <v>35376</v>
      </c>
      <c r="H111" s="56" t="str">
        <f t="shared" si="151"/>
        <v>28 AÑOS</v>
      </c>
      <c r="I111" s="57">
        <v>5562.1191770030891</v>
      </c>
      <c r="J111" s="58"/>
      <c r="K111" s="57"/>
      <c r="L111" s="59"/>
      <c r="M111" s="60">
        <v>4.0000000000000002E-4</v>
      </c>
      <c r="N111" s="61">
        <f t="shared" si="152"/>
        <v>222.48476708012356</v>
      </c>
      <c r="O111" s="58">
        <f t="shared" si="153"/>
        <v>5784.6039440832128</v>
      </c>
      <c r="P111" s="61">
        <f t="shared" si="154"/>
        <v>11569.207888166426</v>
      </c>
      <c r="Q111" s="61">
        <f t="shared" si="155"/>
        <v>8676.9059161248188</v>
      </c>
      <c r="R111" s="61">
        <f t="shared" si="156"/>
        <v>2892.3019720416064</v>
      </c>
      <c r="S111" s="61">
        <f t="shared" si="157"/>
        <v>385.64026293888088</v>
      </c>
      <c r="T111" s="58">
        <f t="shared" si="158"/>
        <v>442.67645782754136</v>
      </c>
      <c r="U111" s="61">
        <f t="shared" si="159"/>
        <v>4338.4529580624094</v>
      </c>
      <c r="V111" s="58">
        <f t="shared" si="160"/>
        <v>1446.1509860208032</v>
      </c>
      <c r="W111" s="62">
        <v>7.4999999999999997E-2</v>
      </c>
      <c r="X111" s="63">
        <f t="shared" si="161"/>
        <v>867.69059161248185</v>
      </c>
      <c r="Y111" s="61">
        <v>631.08662767438022</v>
      </c>
      <c r="Z111" s="61">
        <v>0</v>
      </c>
      <c r="AA111" s="61">
        <f t="shared" si="162"/>
        <v>1446.1509860208034</v>
      </c>
      <c r="AB111" s="61">
        <f t="shared" si="163"/>
        <v>289.23019720416067</v>
      </c>
      <c r="AC111" s="61">
        <v>1966.3442750172023</v>
      </c>
      <c r="AD111" s="61">
        <v>1160.2771297888771</v>
      </c>
      <c r="AE111" s="61">
        <v>686.14850963268918</v>
      </c>
      <c r="AF111" s="61">
        <v>0</v>
      </c>
      <c r="AG111" s="61">
        <f t="shared" si="164"/>
        <v>399.13767214174169</v>
      </c>
      <c r="AH111" s="64"/>
      <c r="AI111" s="64"/>
      <c r="AJ111" s="369">
        <v>22</v>
      </c>
      <c r="AK111" s="372" t="s">
        <v>66</v>
      </c>
      <c r="AL111" s="365">
        <v>9008</v>
      </c>
      <c r="AM111" s="394" t="s">
        <v>184</v>
      </c>
      <c r="AN111" s="371" t="s">
        <v>185</v>
      </c>
      <c r="AO111" s="395">
        <f t="shared" si="167"/>
        <v>104122.87099349783</v>
      </c>
      <c r="AP111" s="395">
        <f t="shared" si="167"/>
        <v>34707.623664499275</v>
      </c>
      <c r="AQ111" s="395">
        <f t="shared" si="168"/>
        <v>10412.287099349782</v>
      </c>
      <c r="AR111" s="395">
        <f t="shared" si="168"/>
        <v>7573.0395320925627</v>
      </c>
      <c r="AS111" s="395">
        <f t="shared" si="168"/>
        <v>0</v>
      </c>
      <c r="AT111" s="395">
        <f t="shared" si="168"/>
        <v>17353.811832249641</v>
      </c>
      <c r="AU111" s="395">
        <f t="shared" si="168"/>
        <v>3470.7623664499279</v>
      </c>
      <c r="AV111" s="395">
        <f t="shared" si="168"/>
        <v>23596.131300206427</v>
      </c>
      <c r="AW111" s="395">
        <f t="shared" si="168"/>
        <v>13923.325557466525</v>
      </c>
      <c r="AX111" s="395">
        <f t="shared" si="168"/>
        <v>8233.7821155922702</v>
      </c>
      <c r="AY111" s="395">
        <f t="shared" si="168"/>
        <v>0</v>
      </c>
      <c r="AZ111" s="395">
        <f t="shared" si="168"/>
        <v>4789.6520657009005</v>
      </c>
      <c r="BB111" s="64"/>
      <c r="BC111" s="66"/>
      <c r="BD111" s="66"/>
      <c r="BE111" s="66"/>
    </row>
    <row r="112" spans="1:177" s="364" customFormat="1" ht="21" customHeight="1" x14ac:dyDescent="0.2">
      <c r="B112" s="365">
        <v>23</v>
      </c>
      <c r="C112" s="372" t="s">
        <v>66</v>
      </c>
      <c r="D112" s="396">
        <v>5091</v>
      </c>
      <c r="E112" s="394" t="s">
        <v>186</v>
      </c>
      <c r="F112" s="371" t="s">
        <v>185</v>
      </c>
      <c r="G112" s="55">
        <v>42430</v>
      </c>
      <c r="H112" s="56" t="str">
        <f t="shared" si="151"/>
        <v>8 AÑOS</v>
      </c>
      <c r="I112" s="57">
        <v>5562.1191770030891</v>
      </c>
      <c r="J112" s="58"/>
      <c r="K112" s="57"/>
      <c r="L112" s="59"/>
      <c r="M112" s="60">
        <v>4.0000000000000002E-4</v>
      </c>
      <c r="N112" s="61">
        <f t="shared" si="152"/>
        <v>222.48476708012356</v>
      </c>
      <c r="O112" s="58">
        <f t="shared" si="153"/>
        <v>5784.6039440832128</v>
      </c>
      <c r="P112" s="61">
        <f t="shared" si="154"/>
        <v>11569.207888166426</v>
      </c>
      <c r="Q112" s="61">
        <f t="shared" si="155"/>
        <v>8676.9059161248188</v>
      </c>
      <c r="R112" s="61">
        <f t="shared" si="156"/>
        <v>2892.3019720416064</v>
      </c>
      <c r="S112" s="61">
        <f t="shared" si="157"/>
        <v>385.64026293888088</v>
      </c>
      <c r="T112" s="58">
        <f t="shared" si="158"/>
        <v>442.67645782754136</v>
      </c>
      <c r="U112" s="61">
        <f t="shared" si="159"/>
        <v>4338.4529580624094</v>
      </c>
      <c r="V112" s="58">
        <f t="shared" si="160"/>
        <v>1446.1509860208032</v>
      </c>
      <c r="W112" s="62">
        <v>2.5000000000000001E-2</v>
      </c>
      <c r="X112" s="63">
        <f t="shared" si="161"/>
        <v>289.23019720416067</v>
      </c>
      <c r="Y112" s="61">
        <v>631.08662767438022</v>
      </c>
      <c r="Z112" s="61">
        <v>0</v>
      </c>
      <c r="AA112" s="61">
        <f t="shared" si="162"/>
        <v>1446.1509860208034</v>
      </c>
      <c r="AB112" s="61">
        <f t="shared" si="163"/>
        <v>289.23019720416067</v>
      </c>
      <c r="AC112" s="61">
        <v>1966.3442750172023</v>
      </c>
      <c r="AD112" s="61">
        <v>1160.2771297888771</v>
      </c>
      <c r="AE112" s="61">
        <v>686.14850963268918</v>
      </c>
      <c r="AF112" s="61">
        <v>0</v>
      </c>
      <c r="AG112" s="61">
        <f t="shared" si="164"/>
        <v>399.13767214174169</v>
      </c>
      <c r="AH112" s="64"/>
      <c r="AI112" s="64"/>
      <c r="AJ112" s="365">
        <v>23</v>
      </c>
      <c r="AK112" s="372" t="s">
        <v>66</v>
      </c>
      <c r="AL112" s="396">
        <v>5091</v>
      </c>
      <c r="AM112" s="394" t="s">
        <v>186</v>
      </c>
      <c r="AN112" s="371" t="s">
        <v>185</v>
      </c>
      <c r="AO112" s="395">
        <f t="shared" si="167"/>
        <v>104122.87099349783</v>
      </c>
      <c r="AP112" s="395">
        <f t="shared" si="167"/>
        <v>34707.623664499275</v>
      </c>
      <c r="AQ112" s="395">
        <f t="shared" si="168"/>
        <v>3470.7623664499279</v>
      </c>
      <c r="AR112" s="395">
        <f t="shared" si="168"/>
        <v>7573.0395320925627</v>
      </c>
      <c r="AS112" s="395">
        <f t="shared" si="168"/>
        <v>0</v>
      </c>
      <c r="AT112" s="395">
        <f t="shared" si="168"/>
        <v>17353.811832249641</v>
      </c>
      <c r="AU112" s="395">
        <f t="shared" si="168"/>
        <v>3470.7623664499279</v>
      </c>
      <c r="AV112" s="395">
        <f t="shared" si="168"/>
        <v>23596.131300206427</v>
      </c>
      <c r="AW112" s="395">
        <f t="shared" si="168"/>
        <v>13923.325557466525</v>
      </c>
      <c r="AX112" s="395">
        <f t="shared" si="168"/>
        <v>8233.7821155922702</v>
      </c>
      <c r="AY112" s="395">
        <f t="shared" si="168"/>
        <v>0</v>
      </c>
      <c r="AZ112" s="395">
        <f t="shared" si="168"/>
        <v>4789.6520657009005</v>
      </c>
      <c r="BB112" s="64"/>
      <c r="BC112" s="66"/>
      <c r="BD112" s="66"/>
      <c r="BE112" s="66"/>
    </row>
    <row r="113" spans="2:57" s="364" customFormat="1" ht="21" customHeight="1" x14ac:dyDescent="0.2">
      <c r="B113" s="369">
        <v>24</v>
      </c>
      <c r="C113" s="372" t="s">
        <v>66</v>
      </c>
      <c r="D113" s="365">
        <v>16543</v>
      </c>
      <c r="E113" s="397" t="s">
        <v>187</v>
      </c>
      <c r="F113" s="378" t="s">
        <v>188</v>
      </c>
      <c r="G113" s="398">
        <v>43862</v>
      </c>
      <c r="H113" s="56" t="str">
        <f t="shared" si="151"/>
        <v>4 AÑOS</v>
      </c>
      <c r="I113" s="57">
        <v>6350.9317058411743</v>
      </c>
      <c r="J113" s="58">
        <v>7148.88</v>
      </c>
      <c r="K113" s="172">
        <f>J113-I113</f>
        <v>797.94829415882577</v>
      </c>
      <c r="L113" s="173">
        <f>K113*100/I113</f>
        <v>12.564271371788248</v>
      </c>
      <c r="M113" s="60">
        <v>1.256E-3</v>
      </c>
      <c r="N113" s="61">
        <f>I113*0.1256</f>
        <v>797.67702225365144</v>
      </c>
      <c r="O113" s="58">
        <f t="shared" si="153"/>
        <v>7148.6087280948259</v>
      </c>
      <c r="P113" s="61">
        <f t="shared" si="154"/>
        <v>14297.217456189652</v>
      </c>
      <c r="Q113" s="61">
        <f t="shared" si="155"/>
        <v>10722.913092142238</v>
      </c>
      <c r="R113" s="61">
        <f t="shared" si="156"/>
        <v>3574.3043640474129</v>
      </c>
      <c r="S113" s="61">
        <f t="shared" si="157"/>
        <v>476.57391520632171</v>
      </c>
      <c r="T113" s="58">
        <f t="shared" si="158"/>
        <v>547.05919726533671</v>
      </c>
      <c r="U113" s="61">
        <f t="shared" si="159"/>
        <v>5361.4565460711192</v>
      </c>
      <c r="V113" s="58">
        <f t="shared" si="160"/>
        <v>1787.1521820237065</v>
      </c>
      <c r="W113" s="101">
        <v>0</v>
      </c>
      <c r="X113" s="63">
        <f t="shared" si="161"/>
        <v>0</v>
      </c>
      <c r="Y113" s="61">
        <v>853.73647999999991</v>
      </c>
      <c r="Z113" s="61">
        <v>0</v>
      </c>
      <c r="AA113" s="61">
        <f t="shared" si="162"/>
        <v>1787.1521820237065</v>
      </c>
      <c r="AB113" s="61">
        <f t="shared" si="163"/>
        <v>357.43043640474133</v>
      </c>
      <c r="AC113" s="61">
        <v>2300.6942247663178</v>
      </c>
      <c r="AD113" s="61">
        <v>1433.8695089923108</v>
      </c>
      <c r="AE113" s="61">
        <v>847.94175576127191</v>
      </c>
      <c r="AF113" s="61">
        <v>0</v>
      </c>
      <c r="AG113" s="61">
        <f t="shared" si="164"/>
        <v>493.25400223854297</v>
      </c>
      <c r="AH113" s="64"/>
      <c r="AI113" s="64"/>
      <c r="AJ113" s="369">
        <v>24</v>
      </c>
      <c r="AK113" s="372" t="s">
        <v>66</v>
      </c>
      <c r="AL113" s="365">
        <v>16543</v>
      </c>
      <c r="AM113" s="397" t="s">
        <v>187</v>
      </c>
      <c r="AN113" s="378" t="s">
        <v>188</v>
      </c>
      <c r="AO113" s="368">
        <f t="shared" ref="AO113:AP115" si="169">Q113*3</f>
        <v>32168.739276426713</v>
      </c>
      <c r="AP113" s="368">
        <f t="shared" si="169"/>
        <v>10722.913092142238</v>
      </c>
      <c r="AQ113" s="368">
        <f t="shared" ref="AQ113:AZ115" si="170">X113*3</f>
        <v>0</v>
      </c>
      <c r="AR113" s="368">
        <f t="shared" si="170"/>
        <v>2561.2094399999996</v>
      </c>
      <c r="AS113" s="368">
        <f t="shared" si="170"/>
        <v>0</v>
      </c>
      <c r="AT113" s="368">
        <f t="shared" si="170"/>
        <v>5361.4565460711192</v>
      </c>
      <c r="AU113" s="368">
        <f t="shared" si="170"/>
        <v>1072.2913092142239</v>
      </c>
      <c r="AV113" s="368">
        <f t="shared" si="170"/>
        <v>6902.0826742989539</v>
      </c>
      <c r="AW113" s="368">
        <f t="shared" si="170"/>
        <v>4301.6085269769319</v>
      </c>
      <c r="AX113" s="368">
        <f t="shared" si="170"/>
        <v>2543.8252672838157</v>
      </c>
      <c r="AY113" s="368">
        <f t="shared" si="170"/>
        <v>0</v>
      </c>
      <c r="AZ113" s="368">
        <f t="shared" si="170"/>
        <v>1479.762006715629</v>
      </c>
      <c r="BB113" s="64"/>
      <c r="BC113" s="66"/>
      <c r="BD113" s="66"/>
      <c r="BE113" s="66"/>
    </row>
    <row r="114" spans="2:57" s="364" customFormat="1" ht="21" customHeight="1" x14ac:dyDescent="0.2">
      <c r="B114" s="369">
        <v>25</v>
      </c>
      <c r="C114" s="372" t="s">
        <v>66</v>
      </c>
      <c r="D114" s="365">
        <v>16556</v>
      </c>
      <c r="E114" s="397" t="s">
        <v>189</v>
      </c>
      <c r="F114" s="378" t="s">
        <v>190</v>
      </c>
      <c r="G114" s="398">
        <v>43862</v>
      </c>
      <c r="H114" s="56" t="str">
        <f t="shared" si="151"/>
        <v>4 AÑOS</v>
      </c>
      <c r="I114" s="57">
        <v>4913.376968141848</v>
      </c>
      <c r="J114" s="58">
        <v>5984.31</v>
      </c>
      <c r="K114" s="172">
        <f>J114-I114</f>
        <v>1070.9330318581524</v>
      </c>
      <c r="L114" s="173">
        <f>K114*100/I114</f>
        <v>21.796272478216956</v>
      </c>
      <c r="M114" s="60">
        <v>2.1800000000000001E-3</v>
      </c>
      <c r="N114" s="61">
        <f>I114*0.2179</f>
        <v>1070.6248413581088</v>
      </c>
      <c r="O114" s="58">
        <f t="shared" si="153"/>
        <v>5984.0018094999568</v>
      </c>
      <c r="P114" s="61">
        <f t="shared" si="154"/>
        <v>11968.003618999914</v>
      </c>
      <c r="Q114" s="61">
        <f t="shared" si="155"/>
        <v>8976.0027142499348</v>
      </c>
      <c r="R114" s="61">
        <f t="shared" si="156"/>
        <v>2992.0009047499784</v>
      </c>
      <c r="S114" s="61">
        <f t="shared" si="157"/>
        <v>398.93345396666376</v>
      </c>
      <c r="T114" s="58">
        <f t="shared" si="158"/>
        <v>457.93571180833328</v>
      </c>
      <c r="U114" s="61">
        <f t="shared" si="159"/>
        <v>4488.0013571249674</v>
      </c>
      <c r="V114" s="58">
        <f t="shared" si="160"/>
        <v>1496.0004523749892</v>
      </c>
      <c r="W114" s="101">
        <v>0</v>
      </c>
      <c r="X114" s="63">
        <f t="shared" si="161"/>
        <v>0</v>
      </c>
      <c r="Y114" s="61">
        <v>663.67865599999993</v>
      </c>
      <c r="Z114" s="61">
        <v>0</v>
      </c>
      <c r="AA114" s="61">
        <f t="shared" si="162"/>
        <v>1496.0004523749892</v>
      </c>
      <c r="AB114" s="61">
        <f t="shared" si="163"/>
        <v>299.20009047499781</v>
      </c>
      <c r="AC114" s="61">
        <v>2015.2214249096633</v>
      </c>
      <c r="AD114" s="61">
        <v>1200.2723974352318</v>
      </c>
      <c r="AE114" s="61">
        <v>709.80035330291662</v>
      </c>
      <c r="AF114" s="61">
        <v>0</v>
      </c>
      <c r="AG114" s="61">
        <f t="shared" si="164"/>
        <v>412.89612485549702</v>
      </c>
      <c r="AH114" s="64"/>
      <c r="AI114" s="64"/>
      <c r="AJ114" s="369">
        <v>25</v>
      </c>
      <c r="AK114" s="372" t="s">
        <v>66</v>
      </c>
      <c r="AL114" s="365">
        <v>16556</v>
      </c>
      <c r="AM114" s="397" t="s">
        <v>189</v>
      </c>
      <c r="AN114" s="378" t="s">
        <v>190</v>
      </c>
      <c r="AO114" s="368">
        <f t="shared" si="169"/>
        <v>26928.008142749804</v>
      </c>
      <c r="AP114" s="368">
        <f t="shared" si="169"/>
        <v>8976.0027142499348</v>
      </c>
      <c r="AQ114" s="368">
        <f t="shared" si="170"/>
        <v>0</v>
      </c>
      <c r="AR114" s="368">
        <f t="shared" si="170"/>
        <v>1991.0359679999997</v>
      </c>
      <c r="AS114" s="368">
        <f t="shared" si="170"/>
        <v>0</v>
      </c>
      <c r="AT114" s="368">
        <f t="shared" si="170"/>
        <v>4488.0013571249674</v>
      </c>
      <c r="AU114" s="368">
        <f t="shared" si="170"/>
        <v>897.60027142499348</v>
      </c>
      <c r="AV114" s="368">
        <f t="shared" si="170"/>
        <v>6045.6642747289898</v>
      </c>
      <c r="AW114" s="368">
        <f t="shared" si="170"/>
        <v>3600.8171923056952</v>
      </c>
      <c r="AX114" s="368">
        <f t="shared" si="170"/>
        <v>2129.4010599087496</v>
      </c>
      <c r="AY114" s="368">
        <f t="shared" si="170"/>
        <v>0</v>
      </c>
      <c r="AZ114" s="368">
        <f t="shared" si="170"/>
        <v>1238.6883745664911</v>
      </c>
      <c r="BB114" s="64"/>
    </row>
    <row r="115" spans="2:57" s="364" customFormat="1" ht="21" customHeight="1" x14ac:dyDescent="0.2">
      <c r="B115" s="365">
        <v>26</v>
      </c>
      <c r="C115" s="372" t="s">
        <v>66</v>
      </c>
      <c r="D115" s="365">
        <v>11177</v>
      </c>
      <c r="E115" s="372" t="s">
        <v>191</v>
      </c>
      <c r="F115" s="378" t="s">
        <v>190</v>
      </c>
      <c r="G115" s="155">
        <v>43739</v>
      </c>
      <c r="H115" s="56" t="str">
        <f t="shared" si="151"/>
        <v>5 AÑOS</v>
      </c>
      <c r="I115" s="75">
        <v>4913.376968141848</v>
      </c>
      <c r="J115" s="57">
        <v>5984.31</v>
      </c>
      <c r="K115" s="108">
        <f>J115-I115</f>
        <v>1070.9330318581524</v>
      </c>
      <c r="L115" s="109">
        <f>K115*100/I115</f>
        <v>21.796272478216956</v>
      </c>
      <c r="M115" s="60">
        <v>2.1700000000000001E-3</v>
      </c>
      <c r="N115" s="61">
        <f>I115*0.2179</f>
        <v>1070.6248413581088</v>
      </c>
      <c r="O115" s="58">
        <f t="shared" si="153"/>
        <v>5984.0018094999568</v>
      </c>
      <c r="P115" s="61">
        <f t="shared" si="154"/>
        <v>11968.003618999914</v>
      </c>
      <c r="Q115" s="61">
        <f t="shared" si="155"/>
        <v>8976.0027142499348</v>
      </c>
      <c r="R115" s="61">
        <f t="shared" si="156"/>
        <v>2992.0009047499784</v>
      </c>
      <c r="S115" s="61">
        <f t="shared" si="157"/>
        <v>398.93345396666376</v>
      </c>
      <c r="T115" s="58">
        <f t="shared" si="158"/>
        <v>457.93571180833328</v>
      </c>
      <c r="U115" s="61">
        <f t="shared" si="159"/>
        <v>4488.0013571249674</v>
      </c>
      <c r="V115" s="58">
        <f t="shared" si="160"/>
        <v>1496.0004523749892</v>
      </c>
      <c r="W115" s="101">
        <v>0</v>
      </c>
      <c r="X115" s="63">
        <f t="shared" si="161"/>
        <v>0</v>
      </c>
      <c r="Y115" s="61">
        <v>663.65</v>
      </c>
      <c r="Z115" s="61">
        <v>0</v>
      </c>
      <c r="AA115" s="61">
        <f t="shared" si="162"/>
        <v>1496.0004523749892</v>
      </c>
      <c r="AB115" s="61">
        <f t="shared" si="163"/>
        <v>299.20009047499781</v>
      </c>
      <c r="AC115" s="61">
        <v>2015.2214249096633</v>
      </c>
      <c r="AD115" s="61">
        <v>1200.2723974352318</v>
      </c>
      <c r="AE115" s="61">
        <v>709.80035330291662</v>
      </c>
      <c r="AF115" s="61">
        <v>0</v>
      </c>
      <c r="AG115" s="61">
        <f t="shared" si="164"/>
        <v>412.89612485549702</v>
      </c>
      <c r="AH115" s="64"/>
      <c r="AI115" s="64"/>
      <c r="AJ115" s="365">
        <v>26</v>
      </c>
      <c r="AK115" s="372" t="s">
        <v>66</v>
      </c>
      <c r="AL115" s="365">
        <v>11177</v>
      </c>
      <c r="AM115" s="372" t="s">
        <v>191</v>
      </c>
      <c r="AN115" s="378" t="s">
        <v>190</v>
      </c>
      <c r="AO115" s="368">
        <f t="shared" si="169"/>
        <v>26928.008142749804</v>
      </c>
      <c r="AP115" s="368">
        <f t="shared" si="169"/>
        <v>8976.0027142499348</v>
      </c>
      <c r="AQ115" s="368">
        <f t="shared" si="170"/>
        <v>0</v>
      </c>
      <c r="AR115" s="368">
        <f t="shared" si="170"/>
        <v>1990.9499999999998</v>
      </c>
      <c r="AS115" s="368">
        <f t="shared" si="170"/>
        <v>0</v>
      </c>
      <c r="AT115" s="368">
        <f t="shared" si="170"/>
        <v>4488.0013571249674</v>
      </c>
      <c r="AU115" s="368">
        <f t="shared" si="170"/>
        <v>897.60027142499348</v>
      </c>
      <c r="AV115" s="368">
        <f t="shared" si="170"/>
        <v>6045.6642747289898</v>
      </c>
      <c r="AW115" s="368">
        <f t="shared" si="170"/>
        <v>3600.8171923056952</v>
      </c>
      <c r="AX115" s="368">
        <f t="shared" si="170"/>
        <v>2129.4010599087496</v>
      </c>
      <c r="AY115" s="368">
        <f t="shared" si="170"/>
        <v>0</v>
      </c>
      <c r="AZ115" s="368">
        <f t="shared" si="170"/>
        <v>1238.6883745664911</v>
      </c>
      <c r="BB115" s="64"/>
      <c r="BC115" s="177"/>
      <c r="BD115" s="66"/>
      <c r="BE115" s="66"/>
    </row>
    <row r="116" spans="2:57" s="364" customFormat="1" ht="21" customHeight="1" x14ac:dyDescent="0.2">
      <c r="B116" s="369">
        <v>27</v>
      </c>
      <c r="C116" s="372" t="s">
        <v>66</v>
      </c>
      <c r="D116" s="365">
        <v>5094</v>
      </c>
      <c r="E116" s="372" t="s">
        <v>192</v>
      </c>
      <c r="F116" s="371" t="s">
        <v>115</v>
      </c>
      <c r="G116" s="363">
        <v>42705</v>
      </c>
      <c r="H116" s="56" t="str">
        <f t="shared" si="151"/>
        <v>8 AÑOS</v>
      </c>
      <c r="I116" s="57">
        <v>6508.4568868555425</v>
      </c>
      <c r="J116" s="57"/>
      <c r="K116" s="57"/>
      <c r="L116" s="74"/>
      <c r="M116" s="60">
        <v>4.0000000000000002E-4</v>
      </c>
      <c r="N116" s="61">
        <f t="shared" ref="N116:N128" si="171">I116*0.04</f>
        <v>260.33827547422169</v>
      </c>
      <c r="O116" s="58">
        <f t="shared" si="153"/>
        <v>6768.795162329764</v>
      </c>
      <c r="P116" s="61">
        <f t="shared" si="154"/>
        <v>13537.590324659528</v>
      </c>
      <c r="Q116" s="61">
        <f t="shared" si="155"/>
        <v>10153.192743494646</v>
      </c>
      <c r="R116" s="61">
        <f t="shared" si="156"/>
        <v>3384.397581164882</v>
      </c>
      <c r="S116" s="61">
        <f t="shared" si="157"/>
        <v>451.25301082198428</v>
      </c>
      <c r="T116" s="58">
        <f t="shared" si="158"/>
        <v>517.99333112255567</v>
      </c>
      <c r="U116" s="61">
        <f t="shared" si="159"/>
        <v>5076.5963717473232</v>
      </c>
      <c r="V116" s="58">
        <f t="shared" si="160"/>
        <v>1692.198790582441</v>
      </c>
      <c r="W116" s="101">
        <v>2.5000000000000001E-2</v>
      </c>
      <c r="X116" s="63">
        <f t="shared" si="161"/>
        <v>338.43975811648824</v>
      </c>
      <c r="Y116" s="61">
        <v>791.70663449221752</v>
      </c>
      <c r="Z116" s="61">
        <v>0</v>
      </c>
      <c r="AA116" s="61">
        <f t="shared" si="162"/>
        <v>1692.198790582441</v>
      </c>
      <c r="AB116" s="61">
        <f t="shared" si="163"/>
        <v>338.43975811648824</v>
      </c>
      <c r="AC116" s="61">
        <v>2207.5929042166244</v>
      </c>
      <c r="AD116" s="61">
        <v>1357.6864205387744</v>
      </c>
      <c r="AE116" s="61">
        <v>802.88966323996135</v>
      </c>
      <c r="AF116" s="61">
        <v>0</v>
      </c>
      <c r="AG116" s="61">
        <f t="shared" si="164"/>
        <v>467.0468662007537</v>
      </c>
      <c r="AH116" s="64"/>
      <c r="AI116" s="64"/>
      <c r="AJ116" s="369">
        <v>27</v>
      </c>
      <c r="AK116" s="372" t="s">
        <v>66</v>
      </c>
      <c r="AL116" s="365">
        <v>5094</v>
      </c>
      <c r="AM116" s="372" t="s">
        <v>192</v>
      </c>
      <c r="AN116" s="371" t="s">
        <v>115</v>
      </c>
      <c r="AO116" s="368">
        <f t="shared" ref="AO116:AP118" si="172">Q116*12</f>
        <v>121838.31292193575</v>
      </c>
      <c r="AP116" s="368">
        <f t="shared" si="172"/>
        <v>40612.770973978586</v>
      </c>
      <c r="AQ116" s="368">
        <f t="shared" ref="AQ116:AZ118" si="173">X116*12</f>
        <v>4061.2770973978586</v>
      </c>
      <c r="AR116" s="368">
        <f t="shared" si="173"/>
        <v>9500.4796139066093</v>
      </c>
      <c r="AS116" s="368">
        <f t="shared" si="173"/>
        <v>0</v>
      </c>
      <c r="AT116" s="368">
        <f t="shared" si="173"/>
        <v>20306.385486989293</v>
      </c>
      <c r="AU116" s="368">
        <f t="shared" si="173"/>
        <v>4061.2770973978586</v>
      </c>
      <c r="AV116" s="368">
        <f t="shared" si="173"/>
        <v>26491.114850599493</v>
      </c>
      <c r="AW116" s="368">
        <f t="shared" si="173"/>
        <v>16292.237046465292</v>
      </c>
      <c r="AX116" s="368">
        <f t="shared" si="173"/>
        <v>9634.6759588795358</v>
      </c>
      <c r="AY116" s="368">
        <f t="shared" si="173"/>
        <v>0</v>
      </c>
      <c r="AZ116" s="368">
        <f t="shared" si="173"/>
        <v>5604.5623944090439</v>
      </c>
      <c r="BB116" s="64"/>
      <c r="BC116" s="66"/>
      <c r="BD116" s="66"/>
      <c r="BE116" s="66"/>
    </row>
    <row r="117" spans="2:57" s="364" customFormat="1" ht="21" customHeight="1" x14ac:dyDescent="0.2">
      <c r="B117" s="369">
        <v>28</v>
      </c>
      <c r="C117" s="372" t="s">
        <v>66</v>
      </c>
      <c r="D117" s="365">
        <v>5119</v>
      </c>
      <c r="E117" s="69" t="s">
        <v>193</v>
      </c>
      <c r="F117" s="371" t="s">
        <v>194</v>
      </c>
      <c r="G117" s="398">
        <v>45296</v>
      </c>
      <c r="H117" s="56" t="str">
        <f t="shared" si="151"/>
        <v>0 AÑOS</v>
      </c>
      <c r="I117" s="57">
        <v>5250.0650305934623</v>
      </c>
      <c r="J117" s="57"/>
      <c r="K117" s="57"/>
      <c r="L117" s="74"/>
      <c r="M117" s="60">
        <v>4.0000000000000002E-4</v>
      </c>
      <c r="N117" s="61">
        <f t="shared" si="171"/>
        <v>210.00260122373851</v>
      </c>
      <c r="O117" s="58">
        <f t="shared" si="153"/>
        <v>5460.0676318172009</v>
      </c>
      <c r="P117" s="61">
        <f t="shared" si="154"/>
        <v>10920.135263634402</v>
      </c>
      <c r="Q117" s="61">
        <f t="shared" si="155"/>
        <v>8190.1014477258013</v>
      </c>
      <c r="R117" s="61">
        <f t="shared" si="156"/>
        <v>2730.0338159086004</v>
      </c>
      <c r="S117" s="61">
        <f t="shared" si="157"/>
        <v>364.00450878781339</v>
      </c>
      <c r="T117" s="58">
        <f t="shared" si="158"/>
        <v>417.84077563753095</v>
      </c>
      <c r="U117" s="61">
        <f t="shared" si="159"/>
        <v>4095.0507238629007</v>
      </c>
      <c r="V117" s="58">
        <f t="shared" si="160"/>
        <v>1365.0169079543002</v>
      </c>
      <c r="W117" s="101">
        <v>2.5000000000000001E-2</v>
      </c>
      <c r="X117" s="63">
        <f t="shared" si="161"/>
        <v>273.00338159086004</v>
      </c>
      <c r="Y117" s="61">
        <v>578.12230151256711</v>
      </c>
      <c r="Z117" s="61">
        <v>0</v>
      </c>
      <c r="AA117" s="61">
        <f t="shared" si="162"/>
        <v>1365.0169079543002</v>
      </c>
      <c r="AB117" s="61">
        <f t="shared" si="163"/>
        <v>273.00338159086004</v>
      </c>
      <c r="AC117" s="61">
        <v>1886.7927214084425</v>
      </c>
      <c r="AD117" s="61">
        <v>1095.1815649847506</v>
      </c>
      <c r="AE117" s="61">
        <v>647.65320223817298</v>
      </c>
      <c r="AF117" s="61">
        <v>0</v>
      </c>
      <c r="AG117" s="61">
        <f t="shared" si="164"/>
        <v>376.74466659538689</v>
      </c>
      <c r="AH117" s="64"/>
      <c r="AI117" s="64"/>
      <c r="AJ117" s="369">
        <v>28</v>
      </c>
      <c r="AK117" s="372" t="s">
        <v>66</v>
      </c>
      <c r="AL117" s="365">
        <v>5119</v>
      </c>
      <c r="AM117" s="69" t="s">
        <v>193</v>
      </c>
      <c r="AN117" s="371" t="s">
        <v>194</v>
      </c>
      <c r="AO117" s="368">
        <f t="shared" si="172"/>
        <v>98281.217372709623</v>
      </c>
      <c r="AP117" s="368">
        <f t="shared" si="172"/>
        <v>32760.405790903205</v>
      </c>
      <c r="AQ117" s="368">
        <f t="shared" si="173"/>
        <v>3276.0405790903205</v>
      </c>
      <c r="AR117" s="368">
        <f t="shared" si="173"/>
        <v>6937.4676181508057</v>
      </c>
      <c r="AS117" s="368">
        <f t="shared" si="173"/>
        <v>0</v>
      </c>
      <c r="AT117" s="368">
        <f t="shared" si="173"/>
        <v>16380.202895451603</v>
      </c>
      <c r="AU117" s="368">
        <f t="shared" si="173"/>
        <v>3276.0405790903205</v>
      </c>
      <c r="AV117" s="368">
        <f t="shared" si="173"/>
        <v>22641.512656901308</v>
      </c>
      <c r="AW117" s="368">
        <f t="shared" si="173"/>
        <v>13142.178779817008</v>
      </c>
      <c r="AX117" s="368">
        <f t="shared" si="173"/>
        <v>7771.8384268580758</v>
      </c>
      <c r="AY117" s="368">
        <f t="shared" si="173"/>
        <v>0</v>
      </c>
      <c r="AZ117" s="368">
        <f t="shared" si="173"/>
        <v>4520.9359991446427</v>
      </c>
      <c r="BB117" s="64"/>
      <c r="BC117" s="66"/>
      <c r="BD117" s="66"/>
      <c r="BE117" s="66"/>
    </row>
    <row r="118" spans="2:57" s="364" customFormat="1" ht="21" customHeight="1" x14ac:dyDescent="0.2">
      <c r="B118" s="365">
        <v>29</v>
      </c>
      <c r="C118" s="372" t="s">
        <v>66</v>
      </c>
      <c r="D118" s="365">
        <v>5026</v>
      </c>
      <c r="E118" s="371" t="s">
        <v>195</v>
      </c>
      <c r="F118" s="371" t="s">
        <v>196</v>
      </c>
      <c r="G118" s="179">
        <v>38534</v>
      </c>
      <c r="H118" s="56" t="str">
        <f t="shared" si="151"/>
        <v>19 AÑOS</v>
      </c>
      <c r="I118" s="57">
        <v>6473.7189041991969</v>
      </c>
      <c r="J118" s="58"/>
      <c r="K118" s="58"/>
      <c r="L118" s="59"/>
      <c r="M118" s="60">
        <v>4.0000000000000002E-4</v>
      </c>
      <c r="N118" s="61">
        <f t="shared" si="171"/>
        <v>258.94875616796787</v>
      </c>
      <c r="O118" s="58">
        <f t="shared" si="153"/>
        <v>6732.6676603671649</v>
      </c>
      <c r="P118" s="61">
        <f t="shared" si="154"/>
        <v>13465.33532073433</v>
      </c>
      <c r="Q118" s="61">
        <f t="shared" si="155"/>
        <v>10099.001490550747</v>
      </c>
      <c r="R118" s="61">
        <f t="shared" si="156"/>
        <v>3366.3338301835824</v>
      </c>
      <c r="S118" s="61">
        <f t="shared" si="157"/>
        <v>448.84451069114431</v>
      </c>
      <c r="T118" s="58">
        <f t="shared" si="158"/>
        <v>515.22861382236454</v>
      </c>
      <c r="U118" s="61">
        <f t="shared" si="159"/>
        <v>5049.5007452753734</v>
      </c>
      <c r="V118" s="58">
        <f t="shared" si="160"/>
        <v>1683.1669150917912</v>
      </c>
      <c r="W118" s="101">
        <v>7.4999999999999997E-2</v>
      </c>
      <c r="X118" s="63">
        <f t="shared" si="161"/>
        <v>1009.9001490550747</v>
      </c>
      <c r="Y118" s="61">
        <v>785.81062617192117</v>
      </c>
      <c r="Z118" s="61">
        <v>0</v>
      </c>
      <c r="AA118" s="61">
        <f t="shared" si="162"/>
        <v>1683.1669150917912</v>
      </c>
      <c r="AB118" s="61">
        <f t="shared" si="163"/>
        <v>336.63338301835824</v>
      </c>
      <c r="AC118" s="61">
        <v>2198.7371959322072</v>
      </c>
      <c r="AD118" s="61">
        <v>1350.4399582591086</v>
      </c>
      <c r="AE118" s="61">
        <v>798.60435142466508</v>
      </c>
      <c r="AF118" s="61">
        <v>0</v>
      </c>
      <c r="AG118" s="61">
        <f t="shared" si="164"/>
        <v>464.55406856533432</v>
      </c>
      <c r="AH118" s="64"/>
      <c r="AI118" s="64"/>
      <c r="AJ118" s="365">
        <v>29</v>
      </c>
      <c r="AK118" s="372" t="s">
        <v>66</v>
      </c>
      <c r="AL118" s="365">
        <v>5026</v>
      </c>
      <c r="AM118" s="371" t="s">
        <v>195</v>
      </c>
      <c r="AN118" s="371" t="s">
        <v>196</v>
      </c>
      <c r="AO118" s="368">
        <f t="shared" si="172"/>
        <v>121188.01788660896</v>
      </c>
      <c r="AP118" s="368">
        <f t="shared" si="172"/>
        <v>40396.005962202988</v>
      </c>
      <c r="AQ118" s="368">
        <f t="shared" si="173"/>
        <v>12118.801788660898</v>
      </c>
      <c r="AR118" s="368">
        <f t="shared" si="173"/>
        <v>9429.7275140630536</v>
      </c>
      <c r="AS118" s="368">
        <f t="shared" si="173"/>
        <v>0</v>
      </c>
      <c r="AT118" s="368">
        <f t="shared" si="173"/>
        <v>20198.002981101494</v>
      </c>
      <c r="AU118" s="368">
        <f t="shared" si="173"/>
        <v>4039.6005962202989</v>
      </c>
      <c r="AV118" s="368">
        <f t="shared" si="173"/>
        <v>26384.846351186487</v>
      </c>
      <c r="AW118" s="368">
        <f t="shared" si="173"/>
        <v>16205.279499109303</v>
      </c>
      <c r="AX118" s="368">
        <f t="shared" si="173"/>
        <v>9583.2522170959819</v>
      </c>
      <c r="AY118" s="368">
        <f t="shared" si="173"/>
        <v>0</v>
      </c>
      <c r="AZ118" s="368">
        <f t="shared" si="173"/>
        <v>5574.6488227840118</v>
      </c>
      <c r="BB118" s="180"/>
      <c r="BC118" s="181"/>
      <c r="BD118" s="181"/>
      <c r="BE118" s="181"/>
    </row>
    <row r="119" spans="2:57" s="364" customFormat="1" ht="21" customHeight="1" x14ac:dyDescent="0.2">
      <c r="B119" s="369">
        <v>30</v>
      </c>
      <c r="C119" s="372" t="s">
        <v>66</v>
      </c>
      <c r="D119" s="396"/>
      <c r="E119" s="375" t="s">
        <v>55</v>
      </c>
      <c r="F119" s="371" t="s">
        <v>197</v>
      </c>
      <c r="G119" s="55">
        <v>44653</v>
      </c>
      <c r="H119" s="56" t="str">
        <f t="shared" si="151"/>
        <v>2 AÑOS</v>
      </c>
      <c r="I119" s="57">
        <v>5823.6214078377061</v>
      </c>
      <c r="J119" s="58"/>
      <c r="K119" s="58"/>
      <c r="L119" s="59"/>
      <c r="M119" s="60">
        <v>4.0000000000000002E-4</v>
      </c>
      <c r="N119" s="61">
        <f t="shared" si="171"/>
        <v>232.94485631350824</v>
      </c>
      <c r="O119" s="58">
        <f t="shared" si="153"/>
        <v>6056.5662641512145</v>
      </c>
      <c r="P119" s="61">
        <f t="shared" si="154"/>
        <v>12113.132528302429</v>
      </c>
      <c r="Q119" s="61">
        <f t="shared" si="155"/>
        <v>9084.8493962268221</v>
      </c>
      <c r="R119" s="61">
        <f t="shared" si="156"/>
        <v>3028.2831320756072</v>
      </c>
      <c r="S119" s="61">
        <f t="shared" si="157"/>
        <v>403.77108427674762</v>
      </c>
      <c r="T119" s="58">
        <f t="shared" si="158"/>
        <v>463.48882764127853</v>
      </c>
      <c r="U119" s="61">
        <f t="shared" si="159"/>
        <v>4542.4246981134111</v>
      </c>
      <c r="V119" s="58">
        <f t="shared" si="160"/>
        <v>1514.1415660378036</v>
      </c>
      <c r="W119" s="101">
        <v>0</v>
      </c>
      <c r="X119" s="63">
        <f t="shared" si="161"/>
        <v>0</v>
      </c>
      <c r="Y119" s="61">
        <v>675.47087830947817</v>
      </c>
      <c r="Z119" s="61">
        <v>0</v>
      </c>
      <c r="AA119" s="61">
        <f t="shared" si="162"/>
        <v>1514.1415660378036</v>
      </c>
      <c r="AB119" s="61">
        <f t="shared" si="163"/>
        <v>302.82831320756071</v>
      </c>
      <c r="AC119" s="61">
        <v>2033.0086951968422</v>
      </c>
      <c r="AD119" s="61">
        <v>1214.8273916891733</v>
      </c>
      <c r="AE119" s="61">
        <v>718.40768284398177</v>
      </c>
      <c r="AF119" s="61">
        <v>0</v>
      </c>
      <c r="AG119" s="61">
        <f t="shared" si="164"/>
        <v>417.90307222643384</v>
      </c>
      <c r="AH119" s="64"/>
      <c r="AI119" s="64"/>
      <c r="AJ119" s="369">
        <v>30</v>
      </c>
      <c r="AK119" s="372" t="s">
        <v>66</v>
      </c>
      <c r="AL119" s="396"/>
      <c r="AM119" s="375" t="s">
        <v>55</v>
      </c>
      <c r="AN119" s="371" t="s">
        <v>197</v>
      </c>
      <c r="AO119" s="368">
        <f>Q119*9.5</f>
        <v>86306.069264154808</v>
      </c>
      <c r="AP119" s="368">
        <f>R119*9.5</f>
        <v>28768.689754718267</v>
      </c>
      <c r="AQ119" s="368">
        <f t="shared" ref="AQ119:AZ119" si="174">X119*9.5</f>
        <v>0</v>
      </c>
      <c r="AR119" s="368">
        <f t="shared" si="174"/>
        <v>6416.9733439400425</v>
      </c>
      <c r="AS119" s="368">
        <f t="shared" si="174"/>
        <v>0</v>
      </c>
      <c r="AT119" s="368">
        <f t="shared" si="174"/>
        <v>14384.344877359134</v>
      </c>
      <c r="AU119" s="368">
        <f t="shared" si="174"/>
        <v>2876.8689754718266</v>
      </c>
      <c r="AV119" s="368">
        <f t="shared" si="174"/>
        <v>19313.58260437</v>
      </c>
      <c r="AW119" s="368">
        <f t="shared" si="174"/>
        <v>11540.860221047145</v>
      </c>
      <c r="AX119" s="368">
        <f t="shared" si="174"/>
        <v>6824.8729870178267</v>
      </c>
      <c r="AY119" s="368">
        <f t="shared" si="174"/>
        <v>0</v>
      </c>
      <c r="AZ119" s="368">
        <f t="shared" si="174"/>
        <v>3970.0791861511216</v>
      </c>
      <c r="BB119" s="64"/>
      <c r="BC119" s="66"/>
      <c r="BD119" s="66"/>
      <c r="BE119" s="66"/>
    </row>
    <row r="120" spans="2:57" ht="21" customHeight="1" x14ac:dyDescent="0.2">
      <c r="B120" s="51">
        <v>31</v>
      </c>
      <c r="C120" s="73" t="s">
        <v>66</v>
      </c>
      <c r="D120" s="67">
        <v>5057</v>
      </c>
      <c r="E120" s="72" t="s">
        <v>198</v>
      </c>
      <c r="F120" s="72" t="s">
        <v>199</v>
      </c>
      <c r="G120" s="55">
        <v>40151</v>
      </c>
      <c r="H120" s="56" t="str">
        <f t="shared" si="151"/>
        <v>15 AÑOS</v>
      </c>
      <c r="I120" s="57">
        <v>5620.213328658072</v>
      </c>
      <c r="J120" s="58"/>
      <c r="K120" s="58"/>
      <c r="L120" s="59"/>
      <c r="M120" s="60">
        <v>4.0000000000000002E-4</v>
      </c>
      <c r="N120" s="61">
        <f t="shared" si="171"/>
        <v>224.80853314632287</v>
      </c>
      <c r="O120" s="58">
        <f t="shared" si="153"/>
        <v>5845.0218618043946</v>
      </c>
      <c r="P120" s="61">
        <f t="shared" si="154"/>
        <v>11690.043723608789</v>
      </c>
      <c r="Q120" s="61">
        <f t="shared" si="155"/>
        <v>8767.5327927065919</v>
      </c>
      <c r="R120" s="61">
        <f t="shared" si="156"/>
        <v>2922.5109309021973</v>
      </c>
      <c r="S120" s="61">
        <f t="shared" si="157"/>
        <v>389.66812412029299</v>
      </c>
      <c r="T120" s="58">
        <f t="shared" si="158"/>
        <v>447.30003967768431</v>
      </c>
      <c r="U120" s="61">
        <f t="shared" si="159"/>
        <v>4383.7663963532959</v>
      </c>
      <c r="V120" s="58">
        <f t="shared" si="160"/>
        <v>1461.2554654510986</v>
      </c>
      <c r="W120" s="101">
        <v>7.4999999999999997E-2</v>
      </c>
      <c r="X120" s="63">
        <f t="shared" si="161"/>
        <v>876.75327927065916</v>
      </c>
      <c r="Y120" s="61">
        <v>640.94683184647715</v>
      </c>
      <c r="Z120" s="61">
        <v>0</v>
      </c>
      <c r="AA120" s="61">
        <f t="shared" si="162"/>
        <v>1461.2554654510986</v>
      </c>
      <c r="AB120" s="61">
        <f t="shared" si="163"/>
        <v>292.25109309021974</v>
      </c>
      <c r="AC120" s="61">
        <v>1981.1541407821976</v>
      </c>
      <c r="AD120" s="61">
        <v>1172.3957689971944</v>
      </c>
      <c r="AE120" s="61">
        <v>693.31506150041071</v>
      </c>
      <c r="AF120" s="61">
        <v>0</v>
      </c>
      <c r="AG120" s="61">
        <f t="shared" si="164"/>
        <v>403.30650846450317</v>
      </c>
      <c r="AH120" s="64"/>
      <c r="AI120" s="64"/>
      <c r="AJ120" s="51">
        <v>31</v>
      </c>
      <c r="AK120" s="73" t="s">
        <v>66</v>
      </c>
      <c r="AL120" s="67">
        <v>5057</v>
      </c>
      <c r="AM120" s="72" t="s">
        <v>198</v>
      </c>
      <c r="AN120" s="72" t="s">
        <v>199</v>
      </c>
      <c r="AO120" s="65">
        <f>Q120*12</f>
        <v>105210.3935124791</v>
      </c>
      <c r="AP120" s="65">
        <f>R120*12</f>
        <v>35070.131170826367</v>
      </c>
      <c r="AQ120" s="65">
        <f t="shared" ref="AQ120:AZ120" si="175">X120*12</f>
        <v>10521.03935124791</v>
      </c>
      <c r="AR120" s="65">
        <f t="shared" si="175"/>
        <v>7691.3619821577258</v>
      </c>
      <c r="AS120" s="65">
        <f t="shared" si="175"/>
        <v>0</v>
      </c>
      <c r="AT120" s="65">
        <f t="shared" si="175"/>
        <v>17535.065585413184</v>
      </c>
      <c r="AU120" s="65">
        <f t="shared" si="175"/>
        <v>3507.0131170826371</v>
      </c>
      <c r="AV120" s="65">
        <f t="shared" si="175"/>
        <v>23773.84968938637</v>
      </c>
      <c r="AW120" s="65">
        <f t="shared" si="175"/>
        <v>14068.749227966333</v>
      </c>
      <c r="AX120" s="65">
        <f t="shared" si="175"/>
        <v>8319.7807380049289</v>
      </c>
      <c r="AY120" s="65">
        <f t="shared" si="175"/>
        <v>0</v>
      </c>
      <c r="AZ120" s="65">
        <f t="shared" si="175"/>
        <v>4839.678101574038</v>
      </c>
      <c r="BB120" s="64"/>
      <c r="BC120" s="66"/>
      <c r="BD120" s="66"/>
      <c r="BE120" s="66"/>
    </row>
    <row r="121" spans="2:57" s="364" customFormat="1" ht="21" customHeight="1" x14ac:dyDescent="0.2">
      <c r="B121" s="365">
        <v>32</v>
      </c>
      <c r="C121" s="372" t="s">
        <v>66</v>
      </c>
      <c r="D121" s="365">
        <v>24009</v>
      </c>
      <c r="E121" s="372" t="s">
        <v>200</v>
      </c>
      <c r="F121" s="378" t="s">
        <v>201</v>
      </c>
      <c r="G121" s="363">
        <v>41799</v>
      </c>
      <c r="H121" s="56" t="str">
        <f t="shared" si="151"/>
        <v>10 AÑOS</v>
      </c>
      <c r="I121" s="57">
        <v>5823.6214078377061</v>
      </c>
      <c r="J121" s="58"/>
      <c r="K121" s="58"/>
      <c r="L121" s="59"/>
      <c r="M121" s="60">
        <v>4.0000000000000002E-4</v>
      </c>
      <c r="N121" s="61">
        <f t="shared" si="171"/>
        <v>232.94485631350824</v>
      </c>
      <c r="O121" s="58">
        <f t="shared" si="153"/>
        <v>6056.5662641512145</v>
      </c>
      <c r="P121" s="61">
        <f t="shared" si="154"/>
        <v>12113.132528302429</v>
      </c>
      <c r="Q121" s="61">
        <f t="shared" si="155"/>
        <v>9084.8493962268221</v>
      </c>
      <c r="R121" s="61">
        <f t="shared" si="156"/>
        <v>3028.2831320756072</v>
      </c>
      <c r="S121" s="61">
        <f t="shared" si="157"/>
        <v>403.77108427674762</v>
      </c>
      <c r="T121" s="58">
        <f t="shared" si="158"/>
        <v>463.48882764127853</v>
      </c>
      <c r="U121" s="61">
        <f t="shared" si="159"/>
        <v>4542.4246981134111</v>
      </c>
      <c r="V121" s="58">
        <f t="shared" si="160"/>
        <v>1514.1415660378036</v>
      </c>
      <c r="W121" s="101">
        <v>0.05</v>
      </c>
      <c r="X121" s="63">
        <f t="shared" si="161"/>
        <v>605.65662641512142</v>
      </c>
      <c r="Y121" s="61">
        <v>675.47087830947817</v>
      </c>
      <c r="Z121" s="61">
        <v>0</v>
      </c>
      <c r="AA121" s="61">
        <f t="shared" si="162"/>
        <v>1514.1415660378036</v>
      </c>
      <c r="AB121" s="61">
        <f t="shared" si="163"/>
        <v>302.82831320756071</v>
      </c>
      <c r="AC121" s="61">
        <v>2033.0086951968422</v>
      </c>
      <c r="AD121" s="61">
        <v>1214.8273916891733</v>
      </c>
      <c r="AE121" s="61">
        <v>718.40768284398177</v>
      </c>
      <c r="AF121" s="61">
        <v>0</v>
      </c>
      <c r="AG121" s="61">
        <f t="shared" si="164"/>
        <v>417.90307222643384</v>
      </c>
      <c r="AH121" s="64"/>
      <c r="AI121" s="64"/>
      <c r="AJ121" s="365">
        <v>32</v>
      </c>
      <c r="AK121" s="372" t="s">
        <v>66</v>
      </c>
      <c r="AL121" s="365">
        <v>24009</v>
      </c>
      <c r="AM121" s="372" t="s">
        <v>200</v>
      </c>
      <c r="AN121" s="378" t="s">
        <v>201</v>
      </c>
      <c r="AO121" s="368">
        <f t="shared" ref="AO121:AP121" si="176">Q121*3</f>
        <v>27254.548188680466</v>
      </c>
      <c r="AP121" s="368">
        <f t="shared" si="176"/>
        <v>9084.8493962268221</v>
      </c>
      <c r="AQ121" s="368">
        <f t="shared" ref="AQ121:AZ121" si="177">X121*3</f>
        <v>1816.9698792453642</v>
      </c>
      <c r="AR121" s="368">
        <f t="shared" si="177"/>
        <v>2026.4126349284345</v>
      </c>
      <c r="AS121" s="368">
        <f t="shared" si="177"/>
        <v>0</v>
      </c>
      <c r="AT121" s="368">
        <f t="shared" si="177"/>
        <v>4542.4246981134111</v>
      </c>
      <c r="AU121" s="368">
        <f t="shared" si="177"/>
        <v>908.48493962268208</v>
      </c>
      <c r="AV121" s="368">
        <f t="shared" si="177"/>
        <v>6099.0260855905262</v>
      </c>
      <c r="AW121" s="368">
        <f t="shared" si="177"/>
        <v>3644.4821750675201</v>
      </c>
      <c r="AX121" s="368">
        <f t="shared" si="177"/>
        <v>2155.2230485319451</v>
      </c>
      <c r="AY121" s="368">
        <f t="shared" si="177"/>
        <v>0</v>
      </c>
      <c r="AZ121" s="368">
        <f t="shared" si="177"/>
        <v>1253.7092166793016</v>
      </c>
      <c r="BB121" s="64"/>
      <c r="BC121" s="66"/>
      <c r="BD121" s="66"/>
      <c r="BE121" s="66"/>
    </row>
    <row r="122" spans="2:57" ht="21" customHeight="1" x14ac:dyDescent="0.2">
      <c r="B122" s="51">
        <v>33</v>
      </c>
      <c r="C122" s="73" t="s">
        <v>66</v>
      </c>
      <c r="D122" s="67">
        <v>5124</v>
      </c>
      <c r="E122" s="72" t="s">
        <v>202</v>
      </c>
      <c r="F122" s="72" t="s">
        <v>203</v>
      </c>
      <c r="G122" s="157">
        <v>45383</v>
      </c>
      <c r="H122" s="56" t="str">
        <f t="shared" si="151"/>
        <v>0 AÑOS</v>
      </c>
      <c r="I122" s="57">
        <v>3645.8352743228638</v>
      </c>
      <c r="J122" s="58"/>
      <c r="K122" s="58"/>
      <c r="L122" s="59"/>
      <c r="M122" s="60">
        <v>4.0000000000000002E-4</v>
      </c>
      <c r="N122" s="61">
        <f t="shared" si="171"/>
        <v>145.83341097291455</v>
      </c>
      <c r="O122" s="58">
        <f t="shared" si="153"/>
        <v>3791.6686852957782</v>
      </c>
      <c r="P122" s="61">
        <f t="shared" si="154"/>
        <v>7583.3373705915565</v>
      </c>
      <c r="Q122" s="61">
        <f t="shared" si="155"/>
        <v>5687.5030279436669</v>
      </c>
      <c r="R122" s="61">
        <f t="shared" si="156"/>
        <v>1895.8343426478891</v>
      </c>
      <c r="S122" s="61">
        <f t="shared" si="157"/>
        <v>252.77791235305187</v>
      </c>
      <c r="T122" s="58">
        <f t="shared" si="158"/>
        <v>290.16376559006824</v>
      </c>
      <c r="U122" s="61">
        <f t="shared" si="159"/>
        <v>2843.7515139718334</v>
      </c>
      <c r="V122" s="58">
        <f t="shared" si="160"/>
        <v>947.91717132394456</v>
      </c>
      <c r="W122" s="101">
        <v>2.5000000000000001E-2</v>
      </c>
      <c r="X122" s="63">
        <f t="shared" si="161"/>
        <v>189.58343426478893</v>
      </c>
      <c r="Y122" s="61">
        <v>40.282113788394724</v>
      </c>
      <c r="Z122" s="61">
        <v>0</v>
      </c>
      <c r="AA122" s="61">
        <f t="shared" si="162"/>
        <v>947.91717132394444</v>
      </c>
      <c r="AB122" s="61">
        <f t="shared" si="163"/>
        <v>189.58343426478891</v>
      </c>
      <c r="AC122" s="61">
        <v>1498.1100860677793</v>
      </c>
      <c r="AD122" s="61">
        <v>693.97016997348658</v>
      </c>
      <c r="AE122" s="61">
        <v>449.75383666460579</v>
      </c>
      <c r="AF122" s="61">
        <v>0</v>
      </c>
      <c r="AG122" s="61">
        <f t="shared" si="164"/>
        <v>261.62513928540869</v>
      </c>
      <c r="AH122" s="64"/>
      <c r="AI122" s="64"/>
      <c r="AJ122" s="51">
        <v>33</v>
      </c>
      <c r="AK122" s="73" t="s">
        <v>66</v>
      </c>
      <c r="AL122" s="67">
        <v>5124</v>
      </c>
      <c r="AM122" s="72" t="s">
        <v>202</v>
      </c>
      <c r="AN122" s="72" t="s">
        <v>203</v>
      </c>
      <c r="AO122" s="65">
        <f>Q122*7.5</f>
        <v>42656.272709577504</v>
      </c>
      <c r="AP122" s="65">
        <f>R122*7.5</f>
        <v>14218.757569859168</v>
      </c>
      <c r="AQ122" s="65">
        <f t="shared" ref="AQ122:AZ122" si="178">X122*7.5</f>
        <v>1421.875756985917</v>
      </c>
      <c r="AR122" s="65">
        <f t="shared" si="178"/>
        <v>302.1158534129604</v>
      </c>
      <c r="AS122" s="65">
        <f t="shared" si="178"/>
        <v>0</v>
      </c>
      <c r="AT122" s="65">
        <f t="shared" si="178"/>
        <v>7109.3787849295832</v>
      </c>
      <c r="AU122" s="65">
        <f t="shared" si="178"/>
        <v>1421.8757569859167</v>
      </c>
      <c r="AV122" s="65">
        <f t="shared" si="178"/>
        <v>11235.825645508345</v>
      </c>
      <c r="AW122" s="65">
        <f t="shared" si="178"/>
        <v>5204.7762748011492</v>
      </c>
      <c r="AX122" s="65">
        <f t="shared" si="178"/>
        <v>3373.1537749845434</v>
      </c>
      <c r="AY122" s="65">
        <f t="shared" si="178"/>
        <v>0</v>
      </c>
      <c r="AZ122" s="65">
        <f t="shared" si="178"/>
        <v>1962.1885446405652</v>
      </c>
      <c r="BA122" s="182"/>
      <c r="BB122" s="183"/>
      <c r="BC122" s="184"/>
      <c r="BD122" s="66"/>
      <c r="BE122" s="66"/>
    </row>
    <row r="123" spans="2:57" ht="21" customHeight="1" x14ac:dyDescent="0.2">
      <c r="B123" s="51">
        <v>34</v>
      </c>
      <c r="C123" s="73" t="s">
        <v>66</v>
      </c>
      <c r="D123" s="67">
        <v>5117</v>
      </c>
      <c r="E123" s="73" t="s">
        <v>204</v>
      </c>
      <c r="F123" s="72" t="s">
        <v>203</v>
      </c>
      <c r="G123" s="123">
        <v>44958</v>
      </c>
      <c r="H123" s="56" t="str">
        <f t="shared" si="151"/>
        <v>1 AÑOS</v>
      </c>
      <c r="I123" s="57">
        <v>3645.8352743228638</v>
      </c>
      <c r="J123" s="58"/>
      <c r="K123" s="58"/>
      <c r="L123" s="59"/>
      <c r="M123" s="60">
        <v>4.0000000000000002E-4</v>
      </c>
      <c r="N123" s="61">
        <f t="shared" si="171"/>
        <v>145.83341097291455</v>
      </c>
      <c r="O123" s="58">
        <f t="shared" si="153"/>
        <v>3791.6686852957782</v>
      </c>
      <c r="P123" s="61">
        <f t="shared" si="154"/>
        <v>7583.3373705915565</v>
      </c>
      <c r="Q123" s="61">
        <f t="shared" si="155"/>
        <v>5687.5030279436669</v>
      </c>
      <c r="R123" s="61">
        <f t="shared" si="156"/>
        <v>1895.8343426478891</v>
      </c>
      <c r="S123" s="61">
        <f t="shared" si="157"/>
        <v>252.77791235305187</v>
      </c>
      <c r="T123" s="58">
        <f t="shared" si="158"/>
        <v>290.16376559006824</v>
      </c>
      <c r="U123" s="61">
        <f t="shared" si="159"/>
        <v>2843.7515139718334</v>
      </c>
      <c r="V123" s="58">
        <f t="shared" si="160"/>
        <v>947.91717132394456</v>
      </c>
      <c r="W123" s="101">
        <v>0</v>
      </c>
      <c r="X123" s="63">
        <f t="shared" si="161"/>
        <v>0</v>
      </c>
      <c r="Y123" s="61">
        <v>40.282113788394724</v>
      </c>
      <c r="Z123" s="61">
        <v>0</v>
      </c>
      <c r="AA123" s="61">
        <f t="shared" si="162"/>
        <v>947.91717132394444</v>
      </c>
      <c r="AB123" s="61">
        <f t="shared" si="163"/>
        <v>189.58343426478891</v>
      </c>
      <c r="AC123" s="61">
        <v>1498.1100860677793</v>
      </c>
      <c r="AD123" s="61">
        <v>693.97016997348658</v>
      </c>
      <c r="AE123" s="61">
        <v>449.75383666460579</v>
      </c>
      <c r="AF123" s="61">
        <v>0</v>
      </c>
      <c r="AG123" s="61">
        <f t="shared" si="164"/>
        <v>261.62513928540869</v>
      </c>
      <c r="AH123" s="64"/>
      <c r="AI123" s="64"/>
      <c r="AJ123" s="51">
        <v>34</v>
      </c>
      <c r="AK123" s="73" t="s">
        <v>66</v>
      </c>
      <c r="AL123" s="67">
        <v>5117</v>
      </c>
      <c r="AM123" s="73" t="s">
        <v>204</v>
      </c>
      <c r="AN123" s="72" t="s">
        <v>203</v>
      </c>
      <c r="AO123" s="65">
        <f t="shared" ref="AO123:AP127" si="179">Q123*12</f>
        <v>68250.036335323995</v>
      </c>
      <c r="AP123" s="65">
        <f t="shared" si="179"/>
        <v>22750.012111774668</v>
      </c>
      <c r="AQ123" s="65">
        <f t="shared" ref="AQ123:AZ127" si="180">X123*12</f>
        <v>0</v>
      </c>
      <c r="AR123" s="65">
        <f t="shared" si="180"/>
        <v>483.38536546073669</v>
      </c>
      <c r="AS123" s="65">
        <f t="shared" si="180"/>
        <v>0</v>
      </c>
      <c r="AT123" s="65">
        <f t="shared" si="180"/>
        <v>11375.006055887334</v>
      </c>
      <c r="AU123" s="65">
        <f t="shared" si="180"/>
        <v>2275.0012111774668</v>
      </c>
      <c r="AV123" s="65">
        <f t="shared" si="180"/>
        <v>17977.32103281335</v>
      </c>
      <c r="AW123" s="65">
        <f t="shared" si="180"/>
        <v>8327.6420396818394</v>
      </c>
      <c r="AX123" s="65">
        <f t="shared" si="180"/>
        <v>5397.0460399752692</v>
      </c>
      <c r="AY123" s="65">
        <f t="shared" si="180"/>
        <v>0</v>
      </c>
      <c r="AZ123" s="65">
        <f t="shared" si="180"/>
        <v>3139.5016714249041</v>
      </c>
      <c r="BA123" s="182"/>
      <c r="BB123" s="183"/>
      <c r="BC123" s="184"/>
      <c r="BD123" s="66"/>
      <c r="BE123" s="66"/>
    </row>
    <row r="124" spans="2:57" ht="21" customHeight="1" x14ac:dyDescent="0.2">
      <c r="B124" s="67">
        <v>35</v>
      </c>
      <c r="C124" s="73" t="s">
        <v>66</v>
      </c>
      <c r="D124" s="67">
        <v>5110</v>
      </c>
      <c r="E124" s="73" t="s">
        <v>205</v>
      </c>
      <c r="F124" s="72" t="s">
        <v>203</v>
      </c>
      <c r="G124" s="55">
        <v>44136</v>
      </c>
      <c r="H124" s="55" t="str">
        <f t="shared" si="151"/>
        <v>4 AÑOS</v>
      </c>
      <c r="I124" s="57">
        <v>3645.8352743228638</v>
      </c>
      <c r="J124" s="57"/>
      <c r="K124" s="57"/>
      <c r="L124" s="59"/>
      <c r="M124" s="60">
        <v>4.0000000000000002E-4</v>
      </c>
      <c r="N124" s="61">
        <f t="shared" si="171"/>
        <v>145.83341097291455</v>
      </c>
      <c r="O124" s="58">
        <f t="shared" si="153"/>
        <v>3791.6686852957782</v>
      </c>
      <c r="P124" s="61">
        <f t="shared" si="154"/>
        <v>7583.3373705915565</v>
      </c>
      <c r="Q124" s="61">
        <f t="shared" si="155"/>
        <v>5687.5030279436669</v>
      </c>
      <c r="R124" s="61">
        <f t="shared" si="156"/>
        <v>1895.8343426478891</v>
      </c>
      <c r="S124" s="61">
        <f t="shared" si="157"/>
        <v>252.77791235305187</v>
      </c>
      <c r="T124" s="58">
        <f t="shared" si="158"/>
        <v>290.16376559006824</v>
      </c>
      <c r="U124" s="61">
        <f t="shared" si="159"/>
        <v>2843.7515139718334</v>
      </c>
      <c r="V124" s="58">
        <f t="shared" si="160"/>
        <v>947.91717132394456</v>
      </c>
      <c r="W124" s="101">
        <v>0</v>
      </c>
      <c r="X124" s="63">
        <f t="shared" si="161"/>
        <v>0</v>
      </c>
      <c r="Y124" s="61">
        <v>40.282113788394724</v>
      </c>
      <c r="Z124" s="61">
        <v>0</v>
      </c>
      <c r="AA124" s="61">
        <f t="shared" si="162"/>
        <v>947.91717132394444</v>
      </c>
      <c r="AB124" s="61">
        <f t="shared" si="163"/>
        <v>189.58343426478891</v>
      </c>
      <c r="AC124" s="61">
        <v>1498.1100860677793</v>
      </c>
      <c r="AD124" s="61">
        <v>693.97016997348658</v>
      </c>
      <c r="AE124" s="61">
        <v>449.75383666460579</v>
      </c>
      <c r="AF124" s="61">
        <v>0</v>
      </c>
      <c r="AG124" s="61">
        <f t="shared" si="164"/>
        <v>261.62513928540869</v>
      </c>
      <c r="AH124" s="64"/>
      <c r="AI124" s="64"/>
      <c r="AJ124" s="67">
        <v>35</v>
      </c>
      <c r="AK124" s="73" t="s">
        <v>66</v>
      </c>
      <c r="AL124" s="67">
        <v>5110</v>
      </c>
      <c r="AM124" s="73" t="s">
        <v>205</v>
      </c>
      <c r="AN124" s="72" t="s">
        <v>203</v>
      </c>
      <c r="AO124" s="65">
        <f t="shared" si="179"/>
        <v>68250.036335323995</v>
      </c>
      <c r="AP124" s="65">
        <f t="shared" si="179"/>
        <v>22750.012111774668</v>
      </c>
      <c r="AQ124" s="65">
        <f t="shared" si="180"/>
        <v>0</v>
      </c>
      <c r="AR124" s="65">
        <f t="shared" si="180"/>
        <v>483.38536546073669</v>
      </c>
      <c r="AS124" s="65">
        <f t="shared" si="180"/>
        <v>0</v>
      </c>
      <c r="AT124" s="65">
        <f t="shared" si="180"/>
        <v>11375.006055887334</v>
      </c>
      <c r="AU124" s="65">
        <f t="shared" si="180"/>
        <v>2275.0012111774668</v>
      </c>
      <c r="AV124" s="65">
        <f t="shared" si="180"/>
        <v>17977.32103281335</v>
      </c>
      <c r="AW124" s="65">
        <f t="shared" si="180"/>
        <v>8327.6420396818394</v>
      </c>
      <c r="AX124" s="65">
        <f t="shared" si="180"/>
        <v>5397.0460399752692</v>
      </c>
      <c r="AY124" s="65">
        <f t="shared" si="180"/>
        <v>0</v>
      </c>
      <c r="AZ124" s="65">
        <f t="shared" si="180"/>
        <v>3139.5016714249041</v>
      </c>
      <c r="BA124" s="182"/>
      <c r="BB124" s="183"/>
      <c r="BC124" s="184"/>
      <c r="BD124" s="66"/>
      <c r="BE124" s="66"/>
    </row>
    <row r="125" spans="2:57" ht="21" customHeight="1" x14ac:dyDescent="0.2">
      <c r="B125" s="51">
        <v>36</v>
      </c>
      <c r="C125" s="73" t="s">
        <v>66</v>
      </c>
      <c r="D125" s="67">
        <v>5102</v>
      </c>
      <c r="E125" s="112" t="s">
        <v>206</v>
      </c>
      <c r="F125" s="72" t="s">
        <v>203</v>
      </c>
      <c r="G125" s="55">
        <v>43132</v>
      </c>
      <c r="H125" s="55" t="str">
        <f t="shared" si="151"/>
        <v>6 AÑOS</v>
      </c>
      <c r="I125" s="57">
        <v>3645.8352743228638</v>
      </c>
      <c r="J125" s="57"/>
      <c r="K125" s="57"/>
      <c r="L125" s="59"/>
      <c r="M125" s="60">
        <v>4.0000000000000002E-4</v>
      </c>
      <c r="N125" s="61">
        <f t="shared" si="171"/>
        <v>145.83341097291455</v>
      </c>
      <c r="O125" s="58">
        <f t="shared" si="153"/>
        <v>3791.6686852957782</v>
      </c>
      <c r="P125" s="61">
        <f t="shared" si="154"/>
        <v>7583.3373705915565</v>
      </c>
      <c r="Q125" s="61">
        <f t="shared" si="155"/>
        <v>5687.5030279436669</v>
      </c>
      <c r="R125" s="61">
        <f t="shared" si="156"/>
        <v>1895.8343426478891</v>
      </c>
      <c r="S125" s="61">
        <f t="shared" si="157"/>
        <v>252.77791235305187</v>
      </c>
      <c r="T125" s="58">
        <f t="shared" si="158"/>
        <v>290.16376559006824</v>
      </c>
      <c r="U125" s="61">
        <f t="shared" si="159"/>
        <v>2843.7515139718334</v>
      </c>
      <c r="V125" s="58">
        <f t="shared" si="160"/>
        <v>947.91717132394456</v>
      </c>
      <c r="W125" s="101">
        <v>2.5000000000000001E-2</v>
      </c>
      <c r="X125" s="63">
        <f t="shared" si="161"/>
        <v>189.58343426478893</v>
      </c>
      <c r="Y125" s="61">
        <v>40.282113788394724</v>
      </c>
      <c r="Z125" s="61">
        <v>0</v>
      </c>
      <c r="AA125" s="61">
        <f t="shared" si="162"/>
        <v>947.91717132394444</v>
      </c>
      <c r="AB125" s="61">
        <f t="shared" si="163"/>
        <v>189.58343426478891</v>
      </c>
      <c r="AC125" s="61">
        <v>1498.1100860677793</v>
      </c>
      <c r="AD125" s="61">
        <v>693.97016997348658</v>
      </c>
      <c r="AE125" s="61">
        <v>449.75383666460579</v>
      </c>
      <c r="AF125" s="61">
        <v>0</v>
      </c>
      <c r="AG125" s="61">
        <f t="shared" si="164"/>
        <v>261.62513928540869</v>
      </c>
      <c r="AH125" s="64"/>
      <c r="AI125" s="64"/>
      <c r="AJ125" s="51">
        <v>36</v>
      </c>
      <c r="AK125" s="73" t="s">
        <v>66</v>
      </c>
      <c r="AL125" s="67">
        <v>5102</v>
      </c>
      <c r="AM125" s="112" t="s">
        <v>206</v>
      </c>
      <c r="AN125" s="72" t="s">
        <v>203</v>
      </c>
      <c r="AO125" s="65">
        <f t="shared" si="179"/>
        <v>68250.036335323995</v>
      </c>
      <c r="AP125" s="65">
        <f t="shared" si="179"/>
        <v>22750.012111774668</v>
      </c>
      <c r="AQ125" s="65">
        <f t="shared" si="180"/>
        <v>2275.0012111774672</v>
      </c>
      <c r="AR125" s="65">
        <f t="shared" si="180"/>
        <v>483.38536546073669</v>
      </c>
      <c r="AS125" s="65">
        <f t="shared" si="180"/>
        <v>0</v>
      </c>
      <c r="AT125" s="65">
        <f t="shared" si="180"/>
        <v>11375.006055887334</v>
      </c>
      <c r="AU125" s="65">
        <f t="shared" si="180"/>
        <v>2275.0012111774668</v>
      </c>
      <c r="AV125" s="65">
        <f t="shared" si="180"/>
        <v>17977.32103281335</v>
      </c>
      <c r="AW125" s="65">
        <f t="shared" si="180"/>
        <v>8327.6420396818394</v>
      </c>
      <c r="AX125" s="65">
        <f t="shared" si="180"/>
        <v>5397.0460399752692</v>
      </c>
      <c r="AY125" s="65">
        <f t="shared" si="180"/>
        <v>0</v>
      </c>
      <c r="AZ125" s="65">
        <f t="shared" si="180"/>
        <v>3139.5016714249041</v>
      </c>
      <c r="BA125" s="182"/>
      <c r="BB125" s="183"/>
      <c r="BC125" s="184"/>
      <c r="BD125" s="66"/>
      <c r="BE125" s="66"/>
    </row>
    <row r="126" spans="2:57" ht="21" customHeight="1" x14ac:dyDescent="0.2">
      <c r="B126" s="51">
        <v>37</v>
      </c>
      <c r="C126" s="73" t="s">
        <v>66</v>
      </c>
      <c r="E126" s="76" t="s">
        <v>55</v>
      </c>
      <c r="F126" s="72" t="s">
        <v>203</v>
      </c>
      <c r="G126" s="55">
        <v>44667</v>
      </c>
      <c r="H126" s="55" t="str">
        <f t="shared" si="151"/>
        <v>2 AÑOS</v>
      </c>
      <c r="I126" s="57">
        <v>3645.8352743228638</v>
      </c>
      <c r="J126" s="57"/>
      <c r="K126" s="57"/>
      <c r="L126" s="59"/>
      <c r="M126" s="60">
        <v>4.0000000000000002E-4</v>
      </c>
      <c r="N126" s="61">
        <f t="shared" si="171"/>
        <v>145.83341097291455</v>
      </c>
      <c r="O126" s="58">
        <f t="shared" si="153"/>
        <v>3791.6686852957782</v>
      </c>
      <c r="P126" s="61">
        <f t="shared" si="154"/>
        <v>7583.3373705915565</v>
      </c>
      <c r="Q126" s="61">
        <f t="shared" si="155"/>
        <v>5687.5030279436669</v>
      </c>
      <c r="R126" s="61">
        <f t="shared" si="156"/>
        <v>1895.8343426478891</v>
      </c>
      <c r="S126" s="61">
        <f t="shared" si="157"/>
        <v>252.77791235305187</v>
      </c>
      <c r="T126" s="58">
        <f t="shared" si="158"/>
        <v>290.16376559006824</v>
      </c>
      <c r="U126" s="61">
        <f t="shared" si="159"/>
        <v>2843.7515139718334</v>
      </c>
      <c r="V126" s="58">
        <f t="shared" si="160"/>
        <v>947.91717132394456</v>
      </c>
      <c r="W126" s="101">
        <v>0</v>
      </c>
      <c r="X126" s="63">
        <f t="shared" si="161"/>
        <v>0</v>
      </c>
      <c r="Y126" s="61">
        <v>40.282113788394724</v>
      </c>
      <c r="Z126" s="61">
        <v>0</v>
      </c>
      <c r="AA126" s="61">
        <f t="shared" si="162"/>
        <v>947.91717132394444</v>
      </c>
      <c r="AB126" s="61">
        <f t="shared" si="163"/>
        <v>189.58343426478891</v>
      </c>
      <c r="AC126" s="61">
        <v>1498.1100860677793</v>
      </c>
      <c r="AD126" s="61">
        <v>693.97016997348658</v>
      </c>
      <c r="AE126" s="61">
        <v>449.75383666460579</v>
      </c>
      <c r="AF126" s="61">
        <v>0</v>
      </c>
      <c r="AG126" s="61">
        <f t="shared" si="164"/>
        <v>261.62513928540869</v>
      </c>
      <c r="AH126" s="64"/>
      <c r="AI126" s="64"/>
      <c r="AJ126" s="51">
        <v>37</v>
      </c>
      <c r="AK126" s="73" t="s">
        <v>66</v>
      </c>
      <c r="AL126" s="127"/>
      <c r="AM126" s="76" t="s">
        <v>55</v>
      </c>
      <c r="AN126" s="72" t="s">
        <v>203</v>
      </c>
      <c r="AO126" s="65">
        <f t="shared" si="179"/>
        <v>68250.036335323995</v>
      </c>
      <c r="AP126" s="65">
        <f t="shared" si="179"/>
        <v>22750.012111774668</v>
      </c>
      <c r="AQ126" s="65">
        <f t="shared" si="180"/>
        <v>0</v>
      </c>
      <c r="AR126" s="65">
        <f t="shared" si="180"/>
        <v>483.38536546073669</v>
      </c>
      <c r="AS126" s="65">
        <f t="shared" si="180"/>
        <v>0</v>
      </c>
      <c r="AT126" s="65">
        <f t="shared" si="180"/>
        <v>11375.006055887334</v>
      </c>
      <c r="AU126" s="65">
        <f t="shared" si="180"/>
        <v>2275.0012111774668</v>
      </c>
      <c r="AV126" s="65">
        <f t="shared" si="180"/>
        <v>17977.32103281335</v>
      </c>
      <c r="AW126" s="65">
        <f t="shared" si="180"/>
        <v>8327.6420396818394</v>
      </c>
      <c r="AX126" s="65">
        <f t="shared" si="180"/>
        <v>5397.0460399752692</v>
      </c>
      <c r="AY126" s="65">
        <f t="shared" si="180"/>
        <v>0</v>
      </c>
      <c r="AZ126" s="65">
        <f t="shared" si="180"/>
        <v>3139.5016714249041</v>
      </c>
      <c r="BA126" s="182"/>
      <c r="BB126" s="183"/>
      <c r="BC126" s="184"/>
      <c r="BD126" s="66"/>
      <c r="BE126" s="66"/>
    </row>
    <row r="127" spans="2:57" ht="21" customHeight="1" x14ac:dyDescent="0.2">
      <c r="B127" s="67">
        <v>38</v>
      </c>
      <c r="C127" s="73" t="s">
        <v>66</v>
      </c>
      <c r="D127" s="67">
        <v>7073</v>
      </c>
      <c r="E127" s="73" t="s">
        <v>207</v>
      </c>
      <c r="F127" s="72" t="s">
        <v>208</v>
      </c>
      <c r="G127" s="55">
        <v>44636</v>
      </c>
      <c r="H127" s="55" t="str">
        <f t="shared" si="151"/>
        <v>2 AÑOS</v>
      </c>
      <c r="I127" s="57">
        <v>7200.2721767773419</v>
      </c>
      <c r="J127" s="57"/>
      <c r="K127" s="57"/>
      <c r="L127" s="59"/>
      <c r="M127" s="60">
        <v>4.0000000000000002E-4</v>
      </c>
      <c r="N127" s="61">
        <f t="shared" si="171"/>
        <v>288.01088707109369</v>
      </c>
      <c r="O127" s="58">
        <f t="shared" si="153"/>
        <v>7488.2830638484356</v>
      </c>
      <c r="P127" s="61">
        <f t="shared" si="154"/>
        <v>14976.566127696871</v>
      </c>
      <c r="Q127" s="61">
        <f t="shared" si="155"/>
        <v>11232.424595772653</v>
      </c>
      <c r="R127" s="61">
        <f t="shared" si="156"/>
        <v>3744.1415319242178</v>
      </c>
      <c r="S127" s="61">
        <f t="shared" si="157"/>
        <v>499.21887092322902</v>
      </c>
      <c r="T127" s="58">
        <f t="shared" si="158"/>
        <v>573.05334193277452</v>
      </c>
      <c r="U127" s="61">
        <f t="shared" si="159"/>
        <v>5616.2122978863263</v>
      </c>
      <c r="V127" s="58">
        <f t="shared" si="160"/>
        <v>1872.0707659621089</v>
      </c>
      <c r="W127" s="62">
        <v>0</v>
      </c>
      <c r="X127" s="63">
        <f t="shared" si="161"/>
        <v>0</v>
      </c>
      <c r="Y127" s="61">
        <v>922.14473532362433</v>
      </c>
      <c r="Z127" s="61">
        <v>0</v>
      </c>
      <c r="AA127" s="61">
        <f t="shared" si="162"/>
        <v>1872.0707659621087</v>
      </c>
      <c r="AB127" s="61">
        <f t="shared" si="163"/>
        <v>374.41415319242179</v>
      </c>
      <c r="AC127" s="61">
        <v>2383.9564672610018</v>
      </c>
      <c r="AD127" s="61">
        <v>1502.0014618728985</v>
      </c>
      <c r="AE127" s="61">
        <v>888.23267999580059</v>
      </c>
      <c r="AF127" s="61">
        <v>0</v>
      </c>
      <c r="AG127" s="61">
        <f t="shared" si="164"/>
        <v>516.69153140554204</v>
      </c>
      <c r="AH127" s="64"/>
      <c r="AI127" s="64"/>
      <c r="AJ127" s="67">
        <v>38</v>
      </c>
      <c r="AK127" s="73" t="s">
        <v>66</v>
      </c>
      <c r="AL127" s="67">
        <v>7073</v>
      </c>
      <c r="AM127" s="73" t="s">
        <v>207</v>
      </c>
      <c r="AN127" s="72" t="s">
        <v>208</v>
      </c>
      <c r="AO127" s="65">
        <f t="shared" si="179"/>
        <v>134789.09514927183</v>
      </c>
      <c r="AP127" s="65">
        <f t="shared" si="179"/>
        <v>44929.69838309061</v>
      </c>
      <c r="AQ127" s="65">
        <f t="shared" si="180"/>
        <v>0</v>
      </c>
      <c r="AR127" s="65">
        <f t="shared" si="180"/>
        <v>11065.736823883492</v>
      </c>
      <c r="AS127" s="65">
        <f t="shared" si="180"/>
        <v>0</v>
      </c>
      <c r="AT127" s="65">
        <f t="shared" si="180"/>
        <v>22464.849191545305</v>
      </c>
      <c r="AU127" s="65">
        <f t="shared" si="180"/>
        <v>4492.9698383090617</v>
      </c>
      <c r="AV127" s="65">
        <f t="shared" si="180"/>
        <v>28607.477607132023</v>
      </c>
      <c r="AW127" s="65">
        <f t="shared" si="180"/>
        <v>18024.017542474783</v>
      </c>
      <c r="AX127" s="65">
        <f t="shared" si="180"/>
        <v>10658.792159949608</v>
      </c>
      <c r="AY127" s="65">
        <f t="shared" si="180"/>
        <v>0</v>
      </c>
      <c r="AZ127" s="65">
        <f t="shared" si="180"/>
        <v>6200.2983768665044</v>
      </c>
      <c r="BB127" s="64"/>
      <c r="BC127" s="66"/>
      <c r="BD127" s="66"/>
      <c r="BE127" s="66"/>
    </row>
    <row r="128" spans="2:57" ht="21" customHeight="1" x14ac:dyDescent="0.2">
      <c r="B128" s="51">
        <v>39</v>
      </c>
      <c r="C128" s="73" t="s">
        <v>66</v>
      </c>
      <c r="D128" s="67">
        <v>14093</v>
      </c>
      <c r="E128" s="73" t="s">
        <v>209</v>
      </c>
      <c r="F128" s="72" t="s">
        <v>210</v>
      </c>
      <c r="G128" s="55">
        <v>43770</v>
      </c>
      <c r="H128" s="55" t="str">
        <f t="shared" si="151"/>
        <v>5 AÑOS</v>
      </c>
      <c r="I128" s="57">
        <v>5261.8801487178289</v>
      </c>
      <c r="J128" s="57"/>
      <c r="K128" s="57"/>
      <c r="L128" s="59"/>
      <c r="M128" s="60">
        <v>4.0000000000000002E-4</v>
      </c>
      <c r="N128" s="61">
        <f t="shared" si="171"/>
        <v>210.47520594871315</v>
      </c>
      <c r="O128" s="58">
        <f t="shared" si="153"/>
        <v>5472.3553546665416</v>
      </c>
      <c r="P128" s="61">
        <f t="shared" si="154"/>
        <v>10944.710709333083</v>
      </c>
      <c r="Q128" s="61">
        <f t="shared" si="155"/>
        <v>8208.533031999812</v>
      </c>
      <c r="R128" s="61">
        <f t="shared" si="156"/>
        <v>2736.1776773332708</v>
      </c>
      <c r="S128" s="61">
        <f t="shared" si="157"/>
        <v>364.82369031110278</v>
      </c>
      <c r="T128" s="58">
        <f t="shared" si="158"/>
        <v>418.78111410811488</v>
      </c>
      <c r="U128" s="61">
        <f t="shared" si="159"/>
        <v>4104.266515999906</v>
      </c>
      <c r="V128" s="58">
        <f t="shared" si="160"/>
        <v>1368.0888386666354</v>
      </c>
      <c r="W128" s="101">
        <v>2.5000000000000001E-2</v>
      </c>
      <c r="X128" s="63">
        <f t="shared" si="161"/>
        <v>273.61776773332707</v>
      </c>
      <c r="Y128" s="61">
        <v>580.12765788157947</v>
      </c>
      <c r="Z128" s="61">
        <v>0</v>
      </c>
      <c r="AA128" s="61">
        <f t="shared" si="162"/>
        <v>1368.0888386666354</v>
      </c>
      <c r="AB128" s="61">
        <f t="shared" si="163"/>
        <v>273.61776773332707</v>
      </c>
      <c r="AC128" s="61">
        <v>1889.8047339507489</v>
      </c>
      <c r="AD128" s="61">
        <v>1097.6462391330745</v>
      </c>
      <c r="AE128" s="61">
        <v>649.11072686757814</v>
      </c>
      <c r="AF128" s="61">
        <v>0</v>
      </c>
      <c r="AG128" s="61">
        <f t="shared" si="164"/>
        <v>377.59251947199135</v>
      </c>
      <c r="AH128" s="64"/>
      <c r="AI128" s="64"/>
      <c r="AJ128" s="51">
        <v>39</v>
      </c>
      <c r="AK128" s="73" t="s">
        <v>66</v>
      </c>
      <c r="AL128" s="67">
        <v>14093</v>
      </c>
      <c r="AM128" s="73" t="s">
        <v>209</v>
      </c>
      <c r="AN128" s="72" t="s">
        <v>210</v>
      </c>
      <c r="AO128" s="138">
        <f>Q128*10</f>
        <v>82085.330319998116</v>
      </c>
      <c r="AP128" s="65">
        <f>R128*10</f>
        <v>27361.776773332709</v>
      </c>
      <c r="AQ128" s="65">
        <f t="shared" ref="AQ128:AZ129" si="181">X128*10</f>
        <v>2736.1776773332708</v>
      </c>
      <c r="AR128" s="65">
        <f t="shared" si="181"/>
        <v>5801.2765788157949</v>
      </c>
      <c r="AS128" s="65">
        <f t="shared" si="181"/>
        <v>0</v>
      </c>
      <c r="AT128" s="65">
        <f t="shared" si="181"/>
        <v>13680.888386666355</v>
      </c>
      <c r="AU128" s="65">
        <f t="shared" si="181"/>
        <v>2736.1776773332708</v>
      </c>
      <c r="AV128" s="65">
        <f t="shared" si="181"/>
        <v>18898.047339507488</v>
      </c>
      <c r="AW128" s="65">
        <f t="shared" si="181"/>
        <v>10976.462391330744</v>
      </c>
      <c r="AX128" s="65">
        <f t="shared" si="181"/>
        <v>6491.1072686757816</v>
      </c>
      <c r="AY128" s="65">
        <f t="shared" si="181"/>
        <v>0</v>
      </c>
      <c r="AZ128" s="65">
        <f t="shared" si="181"/>
        <v>3775.9251947199136</v>
      </c>
      <c r="BB128" s="64"/>
      <c r="BC128" s="66"/>
      <c r="BD128" s="66"/>
      <c r="BE128" s="66"/>
    </row>
    <row r="129" spans="1:177" ht="21" customHeight="1" x14ac:dyDescent="0.2">
      <c r="B129" s="51">
        <v>40</v>
      </c>
      <c r="C129" s="73" t="s">
        <v>66</v>
      </c>
      <c r="D129" s="67">
        <v>5005</v>
      </c>
      <c r="E129" s="72" t="s">
        <v>211</v>
      </c>
      <c r="F129" s="72" t="s">
        <v>212</v>
      </c>
      <c r="G129" s="123">
        <v>32531</v>
      </c>
      <c r="H129" s="56" t="str">
        <f t="shared" si="151"/>
        <v>35 AÑOS</v>
      </c>
      <c r="I129" s="57">
        <v>5379.0049492513726</v>
      </c>
      <c r="J129" s="58">
        <v>6000</v>
      </c>
      <c r="K129" s="174">
        <f>J129-I129</f>
        <v>620.99505074862736</v>
      </c>
      <c r="L129" s="173">
        <f>K129*100/I129</f>
        <v>11.544794187911185</v>
      </c>
      <c r="M129" s="60">
        <v>1.1540000000000001E-3</v>
      </c>
      <c r="N129" s="61">
        <f>I129*0.1155</f>
        <v>621.27507163853352</v>
      </c>
      <c r="O129" s="58">
        <f t="shared" si="153"/>
        <v>6000.2800208899062</v>
      </c>
      <c r="P129" s="61">
        <f t="shared" si="154"/>
        <v>12000.560041779812</v>
      </c>
      <c r="Q129" s="61">
        <f t="shared" si="155"/>
        <v>9000.4200313348592</v>
      </c>
      <c r="R129" s="61">
        <f t="shared" si="156"/>
        <v>3000.1400104449531</v>
      </c>
      <c r="S129" s="61">
        <f t="shared" si="157"/>
        <v>400.01866805932707</v>
      </c>
      <c r="T129" s="58">
        <f t="shared" si="158"/>
        <v>459.18142906530153</v>
      </c>
      <c r="U129" s="61">
        <f t="shared" si="159"/>
        <v>4500.2100156674296</v>
      </c>
      <c r="V129" s="58">
        <f t="shared" si="160"/>
        <v>1500.0700052224765</v>
      </c>
      <c r="W129" s="101">
        <v>7.4999999999999997E-2</v>
      </c>
      <c r="X129" s="63">
        <f t="shared" si="161"/>
        <v>900.04200313348588</v>
      </c>
      <c r="Y129" s="61">
        <v>675.47</v>
      </c>
      <c r="Z129" s="61">
        <v>0</v>
      </c>
      <c r="AA129" s="61">
        <f t="shared" si="162"/>
        <v>1500.0700052224765</v>
      </c>
      <c r="AB129" s="61">
        <f t="shared" si="163"/>
        <v>300.01400104449527</v>
      </c>
      <c r="AC129" s="61">
        <v>2033.0086951968422</v>
      </c>
      <c r="AD129" s="61">
        <v>1214.8273916891733</v>
      </c>
      <c r="AE129" s="61">
        <v>718.40768284398177</v>
      </c>
      <c r="AF129" s="61">
        <v>0</v>
      </c>
      <c r="AG129" s="61">
        <f t="shared" si="164"/>
        <v>414.01932144140352</v>
      </c>
      <c r="AH129" s="64"/>
      <c r="AI129" s="64"/>
      <c r="AJ129" s="51">
        <v>40</v>
      </c>
      <c r="AK129" s="73" t="s">
        <v>66</v>
      </c>
      <c r="AL129" s="67">
        <v>5005</v>
      </c>
      <c r="AM129" s="72" t="s">
        <v>211</v>
      </c>
      <c r="AN129" s="72" t="s">
        <v>212</v>
      </c>
      <c r="AO129" s="138">
        <f>Q129*10</f>
        <v>90004.200313348585</v>
      </c>
      <c r="AP129" s="65">
        <f>R129*10</f>
        <v>30001.400104449531</v>
      </c>
      <c r="AQ129" s="65">
        <f t="shared" si="181"/>
        <v>9000.4200313348592</v>
      </c>
      <c r="AR129" s="65">
        <f t="shared" si="181"/>
        <v>6754.7000000000007</v>
      </c>
      <c r="AS129" s="65">
        <f t="shared" si="181"/>
        <v>0</v>
      </c>
      <c r="AT129" s="65">
        <f t="shared" si="181"/>
        <v>15000.700052224765</v>
      </c>
      <c r="AU129" s="65">
        <f t="shared" si="181"/>
        <v>3000.1400104449526</v>
      </c>
      <c r="AV129" s="65">
        <f t="shared" si="181"/>
        <v>20330.08695196842</v>
      </c>
      <c r="AW129" s="65">
        <f t="shared" si="181"/>
        <v>12148.273916891732</v>
      </c>
      <c r="AX129" s="65">
        <f t="shared" si="181"/>
        <v>7184.0768284398182</v>
      </c>
      <c r="AY129" s="65">
        <f t="shared" si="181"/>
        <v>0</v>
      </c>
      <c r="AZ129" s="65">
        <f t="shared" si="181"/>
        <v>4140.1932144140355</v>
      </c>
      <c r="BB129" s="64"/>
      <c r="BC129" s="66"/>
      <c r="BD129" s="66"/>
      <c r="BE129" s="66"/>
    </row>
    <row r="130" spans="1:177" ht="21" customHeight="1" x14ac:dyDescent="0.2">
      <c r="B130" s="67">
        <v>41</v>
      </c>
      <c r="C130" s="73" t="s">
        <v>66</v>
      </c>
      <c r="D130" s="67">
        <v>5107</v>
      </c>
      <c r="E130" s="72" t="s">
        <v>213</v>
      </c>
      <c r="F130" s="72" t="s">
        <v>214</v>
      </c>
      <c r="G130" s="155">
        <v>43486</v>
      </c>
      <c r="H130" s="56" t="str">
        <f t="shared" si="151"/>
        <v>5 AÑOS</v>
      </c>
      <c r="I130" s="57">
        <v>4200.009521013134</v>
      </c>
      <c r="J130" s="58"/>
      <c r="K130" s="58"/>
      <c r="L130" s="59"/>
      <c r="M130" s="60">
        <v>4.0000000000000002E-4</v>
      </c>
      <c r="N130" s="61">
        <f>I130*0.04</f>
        <v>168.00038084052537</v>
      </c>
      <c r="O130" s="58">
        <f t="shared" si="153"/>
        <v>4368.0099018536594</v>
      </c>
      <c r="P130" s="61">
        <f t="shared" si="154"/>
        <v>8736.0198037073187</v>
      </c>
      <c r="Q130" s="61">
        <f t="shared" si="155"/>
        <v>6552.0148527804886</v>
      </c>
      <c r="R130" s="61">
        <f t="shared" si="156"/>
        <v>2184.0049509268297</v>
      </c>
      <c r="S130" s="61">
        <f t="shared" si="157"/>
        <v>291.20066012357728</v>
      </c>
      <c r="T130" s="58">
        <f t="shared" si="158"/>
        <v>334.26923775585436</v>
      </c>
      <c r="U130" s="61">
        <f t="shared" si="159"/>
        <v>3276.0074263902443</v>
      </c>
      <c r="V130" s="58">
        <f t="shared" si="160"/>
        <v>1092.0024754634148</v>
      </c>
      <c r="W130" s="101">
        <v>2.5000000000000001E-2</v>
      </c>
      <c r="X130" s="63">
        <f t="shared" si="161"/>
        <v>218.40049509268297</v>
      </c>
      <c r="Y130" s="61">
        <v>149.69847998251709</v>
      </c>
      <c r="Z130" s="61">
        <v>0</v>
      </c>
      <c r="AA130" s="61">
        <f t="shared" si="162"/>
        <v>1092.0024754634148</v>
      </c>
      <c r="AB130" s="61">
        <f t="shared" si="163"/>
        <v>218.40049509268297</v>
      </c>
      <c r="AC130" s="61">
        <v>1619.1034497751148</v>
      </c>
      <c r="AD130" s="61">
        <v>817.07101130852266</v>
      </c>
      <c r="AE130" s="61">
        <v>518.11731852157425</v>
      </c>
      <c r="AF130" s="61">
        <v>0</v>
      </c>
      <c r="AG130" s="61">
        <f t="shared" si="164"/>
        <v>301.39268322790247</v>
      </c>
      <c r="AH130" s="64"/>
      <c r="AI130" s="64"/>
      <c r="AJ130" s="67">
        <v>41</v>
      </c>
      <c r="AK130" s="73" t="s">
        <v>66</v>
      </c>
      <c r="AL130" s="67">
        <v>5107</v>
      </c>
      <c r="AM130" s="72" t="s">
        <v>213</v>
      </c>
      <c r="AN130" s="72" t="s">
        <v>214</v>
      </c>
      <c r="AO130" s="65">
        <f t="shared" ref="AO130:AP132" si="182">Q130*12</f>
        <v>78624.178233365863</v>
      </c>
      <c r="AP130" s="65">
        <f t="shared" si="182"/>
        <v>26208.059411121954</v>
      </c>
      <c r="AQ130" s="65">
        <f t="shared" ref="AQ130:AZ132" si="183">X130*12</f>
        <v>2620.8059411121958</v>
      </c>
      <c r="AR130" s="65">
        <f t="shared" si="183"/>
        <v>1796.381759790205</v>
      </c>
      <c r="AS130" s="65">
        <f t="shared" si="183"/>
        <v>0</v>
      </c>
      <c r="AT130" s="65">
        <f t="shared" si="183"/>
        <v>13104.029705560977</v>
      </c>
      <c r="AU130" s="65">
        <f t="shared" si="183"/>
        <v>2620.8059411121958</v>
      </c>
      <c r="AV130" s="65">
        <f t="shared" si="183"/>
        <v>19429.241397301375</v>
      </c>
      <c r="AW130" s="65">
        <f t="shared" si="183"/>
        <v>9804.8521357022728</v>
      </c>
      <c r="AX130" s="65">
        <f t="shared" si="183"/>
        <v>6217.4078222588905</v>
      </c>
      <c r="AY130" s="65">
        <f t="shared" si="183"/>
        <v>0</v>
      </c>
      <c r="AZ130" s="65">
        <f t="shared" si="183"/>
        <v>3616.7121987348296</v>
      </c>
      <c r="BB130" s="64"/>
      <c r="BC130" s="66"/>
      <c r="BD130" s="66"/>
      <c r="BE130" s="66"/>
    </row>
    <row r="131" spans="1:177" ht="21" customHeight="1" x14ac:dyDescent="0.2">
      <c r="B131" s="51">
        <v>42</v>
      </c>
      <c r="C131" s="73" t="s">
        <v>66</v>
      </c>
      <c r="D131" s="67">
        <v>13269</v>
      </c>
      <c r="E131" s="72" t="s">
        <v>215</v>
      </c>
      <c r="F131" s="72" t="s">
        <v>214</v>
      </c>
      <c r="G131" s="155">
        <v>41369</v>
      </c>
      <c r="H131" s="56" t="str">
        <f t="shared" si="151"/>
        <v>11 AÑOS</v>
      </c>
      <c r="I131" s="57">
        <v>4200.2893622411757</v>
      </c>
      <c r="J131" s="58"/>
      <c r="K131" s="58"/>
      <c r="L131" s="59"/>
      <c r="M131" s="60">
        <v>4.0000000000000002E-4</v>
      </c>
      <c r="N131" s="61">
        <f>I131*0.04</f>
        <v>168.01157448964702</v>
      </c>
      <c r="O131" s="58">
        <f t="shared" si="153"/>
        <v>4368.3009367308223</v>
      </c>
      <c r="P131" s="61">
        <f t="shared" si="154"/>
        <v>8736.6018734616446</v>
      </c>
      <c r="Q131" s="61">
        <f t="shared" si="155"/>
        <v>6552.4514050962334</v>
      </c>
      <c r="R131" s="61">
        <f t="shared" si="156"/>
        <v>2184.1504683654111</v>
      </c>
      <c r="S131" s="61">
        <f t="shared" si="157"/>
        <v>291.22006244872148</v>
      </c>
      <c r="T131" s="58">
        <f t="shared" si="158"/>
        <v>334.29150968488739</v>
      </c>
      <c r="U131" s="61">
        <f t="shared" si="159"/>
        <v>3276.2257025481167</v>
      </c>
      <c r="V131" s="58">
        <f t="shared" si="160"/>
        <v>1092.0752341827056</v>
      </c>
      <c r="W131" s="101">
        <v>0.05</v>
      </c>
      <c r="X131" s="63">
        <f t="shared" si="161"/>
        <v>436.83009367308227</v>
      </c>
      <c r="Y131" s="61">
        <v>149.74597687447016</v>
      </c>
      <c r="Z131" s="61">
        <v>0</v>
      </c>
      <c r="AA131" s="61">
        <f t="shared" si="162"/>
        <v>1092.0752341827056</v>
      </c>
      <c r="AB131" s="61">
        <f t="shared" si="163"/>
        <v>218.41504683654111</v>
      </c>
      <c r="AC131" s="61">
        <v>1619.1747893317608</v>
      </c>
      <c r="AD131" s="61">
        <v>817.12545169825444</v>
      </c>
      <c r="AE131" s="61">
        <v>518.15184001157547</v>
      </c>
      <c r="AF131" s="61">
        <v>0</v>
      </c>
      <c r="AG131" s="61">
        <f t="shared" si="164"/>
        <v>301.41276463442676</v>
      </c>
      <c r="AH131" s="64"/>
      <c r="AI131" s="64"/>
      <c r="AJ131" s="51">
        <v>42</v>
      </c>
      <c r="AK131" s="73" t="s">
        <v>66</v>
      </c>
      <c r="AL131" s="67">
        <v>13269</v>
      </c>
      <c r="AM131" s="72" t="s">
        <v>215</v>
      </c>
      <c r="AN131" s="72" t="s">
        <v>214</v>
      </c>
      <c r="AO131" s="65">
        <f t="shared" si="182"/>
        <v>78629.416861154808</v>
      </c>
      <c r="AP131" s="65">
        <f t="shared" si="182"/>
        <v>26209.805620384934</v>
      </c>
      <c r="AQ131" s="65">
        <f t="shared" si="183"/>
        <v>5241.9611240769873</v>
      </c>
      <c r="AR131" s="65">
        <f t="shared" si="183"/>
        <v>1796.9517224936419</v>
      </c>
      <c r="AS131" s="65">
        <f t="shared" si="183"/>
        <v>0</v>
      </c>
      <c r="AT131" s="65">
        <f t="shared" si="183"/>
        <v>13104.902810192467</v>
      </c>
      <c r="AU131" s="65">
        <f t="shared" si="183"/>
        <v>2620.9805620384932</v>
      </c>
      <c r="AV131" s="65">
        <f t="shared" si="183"/>
        <v>19430.097471981131</v>
      </c>
      <c r="AW131" s="65">
        <f t="shared" si="183"/>
        <v>9805.5054203790532</v>
      </c>
      <c r="AX131" s="65">
        <f t="shared" si="183"/>
        <v>6217.8220801389052</v>
      </c>
      <c r="AY131" s="65">
        <f t="shared" si="183"/>
        <v>0</v>
      </c>
      <c r="AZ131" s="65">
        <f t="shared" si="183"/>
        <v>3616.9531756131209</v>
      </c>
      <c r="BB131" s="64"/>
      <c r="BC131" s="66"/>
      <c r="BD131" s="66"/>
      <c r="BE131" s="66"/>
    </row>
    <row r="132" spans="1:177" ht="21" customHeight="1" x14ac:dyDescent="0.2">
      <c r="B132" s="51">
        <v>43</v>
      </c>
      <c r="C132" s="73" t="s">
        <v>66</v>
      </c>
      <c r="D132" s="67">
        <v>6165</v>
      </c>
      <c r="E132" s="73" t="s">
        <v>216</v>
      </c>
      <c r="F132" s="72" t="s">
        <v>217</v>
      </c>
      <c r="G132" s="123">
        <v>45126</v>
      </c>
      <c r="H132" s="56" t="str">
        <f t="shared" si="151"/>
        <v>1 AÑOS</v>
      </c>
      <c r="I132" s="57">
        <v>5029.0262555000827</v>
      </c>
      <c r="J132" s="58"/>
      <c r="K132" s="174"/>
      <c r="L132" s="173"/>
      <c r="M132" s="60">
        <v>4.0000000000000002E-4</v>
      </c>
      <c r="N132" s="61">
        <f>I132*0.04</f>
        <v>201.16105022000332</v>
      </c>
      <c r="O132" s="58">
        <f t="shared" si="153"/>
        <v>5230.1873057200864</v>
      </c>
      <c r="P132" s="61">
        <f t="shared" si="154"/>
        <v>10460.374611440173</v>
      </c>
      <c r="Q132" s="61">
        <f t="shared" si="155"/>
        <v>7845.2809585801297</v>
      </c>
      <c r="R132" s="61">
        <f t="shared" si="156"/>
        <v>2615.0936528600432</v>
      </c>
      <c r="S132" s="61">
        <f t="shared" si="157"/>
        <v>348.67915371467245</v>
      </c>
      <c r="T132" s="58">
        <f t="shared" si="158"/>
        <v>400.24880054907248</v>
      </c>
      <c r="U132" s="61">
        <f t="shared" si="159"/>
        <v>3922.6404792900648</v>
      </c>
      <c r="V132" s="58">
        <f t="shared" si="160"/>
        <v>1307.5468264300216</v>
      </c>
      <c r="W132" s="101">
        <v>2.5000000000000001E-2</v>
      </c>
      <c r="X132" s="63">
        <f t="shared" si="161"/>
        <v>261.50936528600431</v>
      </c>
      <c r="Y132" s="185">
        <v>540.60583229351801</v>
      </c>
      <c r="Z132" s="61">
        <v>0</v>
      </c>
      <c r="AA132" s="61">
        <f t="shared" si="162"/>
        <v>1307.5468264300218</v>
      </c>
      <c r="AB132" s="61">
        <f t="shared" si="163"/>
        <v>261.50936528600431</v>
      </c>
      <c r="AC132" s="185">
        <v>1830.4435968453827</v>
      </c>
      <c r="AD132" s="185">
        <v>993.23741100255086</v>
      </c>
      <c r="AE132" s="185">
        <v>620.38564085106236</v>
      </c>
      <c r="AF132" s="61">
        <v>0</v>
      </c>
      <c r="AG132" s="61">
        <f t="shared" si="164"/>
        <v>360.88292409468596</v>
      </c>
      <c r="AH132" s="64"/>
      <c r="AI132" s="64"/>
      <c r="AJ132" s="51">
        <v>43</v>
      </c>
      <c r="AK132" s="73" t="s">
        <v>66</v>
      </c>
      <c r="AL132" s="67">
        <v>6165</v>
      </c>
      <c r="AM132" s="73" t="s">
        <v>216</v>
      </c>
      <c r="AN132" s="72" t="s">
        <v>217</v>
      </c>
      <c r="AO132" s="65">
        <f t="shared" si="182"/>
        <v>94143.371502961556</v>
      </c>
      <c r="AP132" s="65">
        <f t="shared" si="182"/>
        <v>31381.123834320519</v>
      </c>
      <c r="AQ132" s="65">
        <f t="shared" si="183"/>
        <v>3138.1123834320515</v>
      </c>
      <c r="AR132" s="65">
        <f t="shared" si="183"/>
        <v>6487.2699875222161</v>
      </c>
      <c r="AS132" s="65">
        <f t="shared" si="183"/>
        <v>0</v>
      </c>
      <c r="AT132" s="65">
        <f t="shared" si="183"/>
        <v>15690.561917160263</v>
      </c>
      <c r="AU132" s="65">
        <f t="shared" si="183"/>
        <v>3138.1123834320515</v>
      </c>
      <c r="AV132" s="65">
        <f t="shared" si="183"/>
        <v>21965.323162144592</v>
      </c>
      <c r="AW132" s="65">
        <f t="shared" si="183"/>
        <v>11918.848932030611</v>
      </c>
      <c r="AX132" s="65">
        <f t="shared" si="183"/>
        <v>7444.6276902127483</v>
      </c>
      <c r="AY132" s="65">
        <f t="shared" si="183"/>
        <v>0</v>
      </c>
      <c r="AZ132" s="65">
        <f t="shared" si="183"/>
        <v>4330.5950891362318</v>
      </c>
      <c r="BA132" s="182"/>
      <c r="BB132" s="183"/>
      <c r="BC132" s="184"/>
      <c r="BD132" s="184"/>
      <c r="BE132" s="184"/>
    </row>
    <row r="133" spans="1:177" s="96" customFormat="1" ht="21" customHeight="1" x14ac:dyDescent="0.2">
      <c r="A133" s="50"/>
      <c r="B133" s="455" t="s">
        <v>99</v>
      </c>
      <c r="C133" s="456"/>
      <c r="D133" s="456"/>
      <c r="E133" s="143">
        <v>43</v>
      </c>
      <c r="F133" s="166" t="s">
        <v>100</v>
      </c>
      <c r="G133" s="139"/>
      <c r="H133" s="90"/>
      <c r="I133" s="91">
        <f t="shared" ref="I133:AG133" si="184">SUM(I107:I132)</f>
        <v>142890.70708655583</v>
      </c>
      <c r="J133" s="91">
        <f t="shared" si="184"/>
        <v>25117.5</v>
      </c>
      <c r="K133" s="91">
        <f t="shared" si="184"/>
        <v>3560.8094086237579</v>
      </c>
      <c r="L133" s="91">
        <f t="shared" si="184"/>
        <v>67.701610516133343</v>
      </c>
      <c r="M133" s="91">
        <f t="shared" si="184"/>
        <v>1.5559999999999991E-2</v>
      </c>
      <c r="N133" s="91">
        <f t="shared" si="184"/>
        <v>8413.5624364155883</v>
      </c>
      <c r="O133" s="91">
        <f t="shared" si="184"/>
        <v>151304.26952297142</v>
      </c>
      <c r="P133" s="91">
        <f t="shared" si="184"/>
        <v>302608.53904594283</v>
      </c>
      <c r="Q133" s="91">
        <f t="shared" si="184"/>
        <v>226956.40428445709</v>
      </c>
      <c r="R133" s="91">
        <f t="shared" si="184"/>
        <v>75652.134761485708</v>
      </c>
      <c r="S133" s="91">
        <f t="shared" si="184"/>
        <v>10086.951301531426</v>
      </c>
      <c r="T133" s="91">
        <f t="shared" si="184"/>
        <v>11578.811399027925</v>
      </c>
      <c r="U133" s="91">
        <f t="shared" si="184"/>
        <v>113478.20214222855</v>
      </c>
      <c r="V133" s="91">
        <f t="shared" si="184"/>
        <v>37826.067380742854</v>
      </c>
      <c r="W133" s="91">
        <f t="shared" si="184"/>
        <v>0.72500000000000009</v>
      </c>
      <c r="X133" s="91">
        <f t="shared" si="184"/>
        <v>9184.5316501811594</v>
      </c>
      <c r="Y133" s="91">
        <f t="shared" si="184"/>
        <v>15343.972371313048</v>
      </c>
      <c r="Z133" s="91">
        <f t="shared" si="184"/>
        <v>0</v>
      </c>
      <c r="AA133" s="91">
        <f t="shared" si="184"/>
        <v>37826.067380742854</v>
      </c>
      <c r="AB133" s="91">
        <f t="shared" si="184"/>
        <v>7565.2134761485686</v>
      </c>
      <c r="AC133" s="91">
        <f t="shared" si="184"/>
        <v>51461.886827325725</v>
      </c>
      <c r="AD133" s="91">
        <f t="shared" si="184"/>
        <v>29853.146293578531</v>
      </c>
      <c r="AE133" s="91">
        <f t="shared" si="184"/>
        <v>17953.834136286048</v>
      </c>
      <c r="AF133" s="91">
        <f t="shared" si="184"/>
        <v>0</v>
      </c>
      <c r="AG133" s="91">
        <f t="shared" si="184"/>
        <v>10439.994597085024</v>
      </c>
      <c r="AH133" s="92"/>
      <c r="AI133" s="92"/>
      <c r="AJ133" s="455" t="s">
        <v>99</v>
      </c>
      <c r="AK133" s="456"/>
      <c r="AL133" s="456"/>
      <c r="AM133" s="143">
        <v>43</v>
      </c>
      <c r="AN133" s="166" t="s">
        <v>100</v>
      </c>
      <c r="AO133" s="93">
        <f>SUM(AO107:AO132)+233489</f>
        <v>2351509.4942573337</v>
      </c>
      <c r="AP133" s="93">
        <f>SUM(AP107:AP132)+77829.67</f>
        <v>783836.50141911127</v>
      </c>
      <c r="AQ133" s="93">
        <f>SUM(AQ107:AQ132)+15881.12</f>
        <v>114608.05557571833</v>
      </c>
      <c r="AR133" s="93">
        <f>SUM(AR107:AR132)+19279.46</f>
        <v>159051.51734183199</v>
      </c>
      <c r="AS133" s="93">
        <f>SUM(AS107:AS132)</f>
        <v>0</v>
      </c>
      <c r="AT133" s="93">
        <f>SUM(AT107:AT132)+38914.83</f>
        <v>391918.24570955569</v>
      </c>
      <c r="AU133" s="93">
        <f>SUM(AU107:AU132)+7782.97</f>
        <v>78383.653141911127</v>
      </c>
      <c r="AV133" s="93">
        <f>SUM(AV107:AV132)+50085.08</f>
        <v>532921.67582181061</v>
      </c>
      <c r="AW133" s="93">
        <f>SUM(AW107:AW132)+31111.29</f>
        <v>308664.28901944536</v>
      </c>
      <c r="AX133" s="93">
        <f>SUM(AX107:AX132)+18398.16</f>
        <v>185952.80798036716</v>
      </c>
      <c r="AY133" s="93">
        <f>SUM(AY107:AY132)</f>
        <v>0</v>
      </c>
      <c r="AZ133" s="93">
        <f>SUM(AZ107:AZ132)+10740.5</f>
        <v>108169.44273583735</v>
      </c>
      <c r="BA133" s="94"/>
      <c r="BB133" s="92"/>
      <c r="BC133" s="95"/>
      <c r="BD133" s="95"/>
      <c r="BE133" s="95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  <c r="FP133" s="50"/>
      <c r="FQ133" s="50"/>
      <c r="FR133" s="50"/>
      <c r="FS133" s="50"/>
      <c r="FT133" s="50"/>
      <c r="FU133" s="50"/>
    </row>
    <row r="134" spans="1:177" ht="21" customHeight="1" x14ac:dyDescent="0.2">
      <c r="B134" s="457" t="s">
        <v>101</v>
      </c>
      <c r="C134" s="458"/>
      <c r="D134" s="458"/>
      <c r="E134" s="76">
        <v>35</v>
      </c>
      <c r="F134" s="122" t="s">
        <v>218</v>
      </c>
      <c r="G134" s="146"/>
      <c r="H134" s="146"/>
      <c r="I134" s="57">
        <f t="shared" ref="I134:AG134" si="185">I106+I133</f>
        <v>291903.54099619691</v>
      </c>
      <c r="J134" s="57">
        <f t="shared" si="185"/>
        <v>37975.232540974961</v>
      </c>
      <c r="K134" s="57">
        <f t="shared" si="185"/>
        <v>6368.521452175014</v>
      </c>
      <c r="L134" s="74">
        <f t="shared" si="185"/>
        <v>121.2246280349928</v>
      </c>
      <c r="M134" s="57">
        <f t="shared" si="185"/>
        <v>2.6911999999999991E-2</v>
      </c>
      <c r="N134" s="57">
        <f t="shared" si="185"/>
        <v>16780.057628417759</v>
      </c>
      <c r="O134" s="57">
        <f t="shared" si="185"/>
        <v>308683.59862461465</v>
      </c>
      <c r="P134" s="57">
        <f t="shared" si="185"/>
        <v>617367.1972492293</v>
      </c>
      <c r="Q134" s="57">
        <f t="shared" si="185"/>
        <v>463025.39793692197</v>
      </c>
      <c r="R134" s="57">
        <f t="shared" si="185"/>
        <v>154341.79931230732</v>
      </c>
      <c r="S134" s="57">
        <f t="shared" si="185"/>
        <v>20578.906574974309</v>
      </c>
      <c r="T134" s="57">
        <f t="shared" si="185"/>
        <v>23622.52685741301</v>
      </c>
      <c r="U134" s="81">
        <f t="shared" si="185"/>
        <v>231512.69896846099</v>
      </c>
      <c r="V134" s="57">
        <f t="shared" si="185"/>
        <v>77170.899656153662</v>
      </c>
      <c r="W134" s="57">
        <f t="shared" si="185"/>
        <v>0.72500000000000009</v>
      </c>
      <c r="X134" s="57">
        <f t="shared" si="185"/>
        <v>9184.5316501811594</v>
      </c>
      <c r="Y134" s="57">
        <f t="shared" si="185"/>
        <v>41666.005978250629</v>
      </c>
      <c r="Z134" s="57">
        <f t="shared" si="185"/>
        <v>0</v>
      </c>
      <c r="AA134" s="57">
        <f t="shared" si="185"/>
        <v>77170.899656153662</v>
      </c>
      <c r="AB134" s="57">
        <f t="shared" si="185"/>
        <v>15434.179931230732</v>
      </c>
      <c r="AC134" s="57">
        <f t="shared" si="185"/>
        <v>99373.99194648827</v>
      </c>
      <c r="AD134" s="57">
        <f t="shared" si="185"/>
        <v>61145.744854624601</v>
      </c>
      <c r="AE134" s="57">
        <f t="shared" si="185"/>
        <v>36621.593096782934</v>
      </c>
      <c r="AF134" s="57">
        <f t="shared" si="185"/>
        <v>0</v>
      </c>
      <c r="AG134" s="57">
        <f t="shared" si="185"/>
        <v>21299.168305098407</v>
      </c>
      <c r="AH134" s="92">
        <f>Q134+R134-Y134+Z134+X134+AA134+AB134+AC134+AD134+AE134+AF134+AG134</f>
        <v>895931.30071153841</v>
      </c>
      <c r="AI134" s="92">
        <f>AH134*12</f>
        <v>10751175.60853846</v>
      </c>
      <c r="AJ134" s="457" t="s">
        <v>101</v>
      </c>
      <c r="AK134" s="458"/>
      <c r="AL134" s="458"/>
      <c r="AM134" s="76">
        <v>35</v>
      </c>
      <c r="AN134" s="122" t="s">
        <v>218</v>
      </c>
      <c r="AO134" s="124">
        <f t="shared" ref="AO134:AZ134" si="186">AO106+AO133</f>
        <v>4688228.2326231282</v>
      </c>
      <c r="AP134" s="124">
        <f t="shared" si="186"/>
        <v>1562742.7475410427</v>
      </c>
      <c r="AQ134" s="124">
        <f t="shared" si="186"/>
        <v>114608.05557571833</v>
      </c>
      <c r="AR134" s="124">
        <f t="shared" si="186"/>
        <v>428806.55903779983</v>
      </c>
      <c r="AS134" s="124">
        <f t="shared" si="186"/>
        <v>0</v>
      </c>
      <c r="AT134" s="124">
        <f t="shared" si="186"/>
        <v>781371.36377052148</v>
      </c>
      <c r="AU134" s="124">
        <f t="shared" si="186"/>
        <v>156274.27675410427</v>
      </c>
      <c r="AV134" s="124">
        <f t="shared" si="186"/>
        <v>1003153.9727003572</v>
      </c>
      <c r="AW134" s="124">
        <f t="shared" si="186"/>
        <v>618598.16322518908</v>
      </c>
      <c r="AX134" s="124">
        <f t="shared" si="186"/>
        <v>370694.33249193593</v>
      </c>
      <c r="AY134" s="124">
        <f t="shared" si="186"/>
        <v>0</v>
      </c>
      <c r="AZ134" s="124">
        <f t="shared" si="186"/>
        <v>215658.50852066389</v>
      </c>
      <c r="BA134" s="94"/>
      <c r="BB134" s="92">
        <f>AO134+AP134+AQ134-AR134+AS134+AU134+AV134+AT134+AW134+AX134+AY134+AZ134</f>
        <v>9082523.0941648632</v>
      </c>
      <c r="BC134" s="95"/>
      <c r="BD134" s="95"/>
      <c r="BE134" s="95"/>
    </row>
    <row r="135" spans="1:177" ht="21" customHeight="1" x14ac:dyDescent="0.2">
      <c r="B135" s="457" t="s">
        <v>103</v>
      </c>
      <c r="C135" s="458"/>
      <c r="D135" s="458"/>
      <c r="E135" s="76">
        <f>E133-E134</f>
        <v>8</v>
      </c>
      <c r="F135" s="76"/>
      <c r="G135" s="167"/>
      <c r="H135" s="167"/>
      <c r="I135" s="186"/>
      <c r="J135" s="186"/>
      <c r="K135" s="186"/>
      <c r="L135" s="167"/>
      <c r="M135" s="171"/>
      <c r="N135" s="81"/>
      <c r="O135" s="484"/>
      <c r="P135" s="479"/>
      <c r="Q135" s="479"/>
      <c r="R135" s="479"/>
      <c r="S135" s="479"/>
      <c r="T135" s="479"/>
      <c r="U135" s="479"/>
      <c r="V135" s="479"/>
      <c r="W135" s="479"/>
      <c r="X135" s="479"/>
      <c r="Y135" s="479"/>
      <c r="Z135" s="479"/>
      <c r="AA135" s="479"/>
      <c r="AB135" s="479"/>
      <c r="AC135" s="479"/>
      <c r="AD135" s="479"/>
      <c r="AE135" s="479"/>
      <c r="AF135" s="479"/>
      <c r="AG135" s="480"/>
      <c r="AH135" s="92"/>
      <c r="AI135" s="92"/>
      <c r="AJ135" s="457" t="s">
        <v>103</v>
      </c>
      <c r="AK135" s="458"/>
      <c r="AL135" s="458"/>
      <c r="AM135" s="76">
        <f>AM133-AM134</f>
        <v>8</v>
      </c>
      <c r="AN135" s="76"/>
      <c r="AO135" s="481"/>
      <c r="AP135" s="482"/>
      <c r="AQ135" s="482"/>
      <c r="AR135" s="482"/>
      <c r="AS135" s="482"/>
      <c r="AT135" s="482"/>
      <c r="AU135" s="482"/>
      <c r="AV135" s="482"/>
      <c r="AW135" s="482"/>
      <c r="AX135" s="482"/>
      <c r="AY135" s="482"/>
      <c r="AZ135" s="483"/>
      <c r="BA135" s="152"/>
      <c r="BB135" s="92"/>
      <c r="BC135" s="95"/>
      <c r="BD135" s="95"/>
      <c r="BE135" s="95"/>
    </row>
    <row r="136" spans="1:177" ht="21" customHeight="1" x14ac:dyDescent="0.2">
      <c r="B136" s="5"/>
      <c r="C136" s="94"/>
      <c r="D136" s="5"/>
      <c r="E136" s="94"/>
      <c r="G136" s="27"/>
      <c r="H136" s="27"/>
      <c r="I136" s="95"/>
      <c r="J136" s="95"/>
      <c r="K136" s="95"/>
      <c r="L136" s="27"/>
      <c r="M136" s="128"/>
      <c r="N136" s="66"/>
      <c r="O136" s="95"/>
      <c r="P136" s="66"/>
      <c r="Q136" s="66"/>
      <c r="R136" s="66"/>
      <c r="S136" s="66"/>
      <c r="T136" s="95"/>
      <c r="U136" s="66"/>
      <c r="V136" s="95"/>
      <c r="W136" s="129"/>
      <c r="X136" s="130"/>
      <c r="Y136" s="66"/>
      <c r="Z136" s="66"/>
      <c r="AA136" s="66"/>
      <c r="AB136" s="66"/>
      <c r="AC136" s="66"/>
      <c r="AD136" s="66"/>
      <c r="AE136" s="66"/>
      <c r="AF136" s="66"/>
      <c r="AG136" s="66"/>
      <c r="AH136" s="64"/>
      <c r="AI136" s="64"/>
      <c r="AJ136" s="5"/>
      <c r="AK136" s="94"/>
      <c r="AL136" s="5"/>
      <c r="AM136" s="94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2"/>
      <c r="BB136" s="92"/>
      <c r="BC136" s="95"/>
      <c r="BD136" s="95"/>
      <c r="BE136" s="95"/>
    </row>
    <row r="137" spans="1:177" ht="21" customHeight="1" thickBot="1" x14ac:dyDescent="0.25">
      <c r="B137" s="5"/>
      <c r="C137" s="94"/>
      <c r="D137" s="5"/>
      <c r="E137" s="94"/>
      <c r="G137" s="27"/>
      <c r="H137" s="27"/>
      <c r="I137" s="95"/>
      <c r="J137" s="95"/>
      <c r="K137" s="95"/>
      <c r="L137" s="27"/>
      <c r="M137" s="128"/>
      <c r="N137" s="66"/>
      <c r="O137" s="95"/>
      <c r="P137" s="66"/>
      <c r="Q137" s="66"/>
      <c r="R137" s="66"/>
      <c r="S137" s="66"/>
      <c r="T137" s="95"/>
      <c r="U137" s="66"/>
      <c r="V137" s="95"/>
      <c r="W137" s="129"/>
      <c r="X137" s="130"/>
      <c r="Y137" s="66"/>
      <c r="Z137" s="66"/>
      <c r="AA137" s="66"/>
      <c r="AB137" s="66"/>
      <c r="AC137" s="66"/>
      <c r="AD137" s="66"/>
      <c r="AE137" s="66"/>
      <c r="AF137" s="66"/>
      <c r="AG137" s="66"/>
      <c r="AH137" s="64"/>
      <c r="AI137" s="64"/>
      <c r="AJ137" s="5"/>
      <c r="AK137" s="94"/>
      <c r="AL137" s="5"/>
      <c r="AM137" s="94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2"/>
      <c r="BB137" s="92"/>
      <c r="BC137" s="95"/>
      <c r="BD137" s="95"/>
      <c r="BE137" s="95"/>
    </row>
    <row r="138" spans="1:177" s="134" customFormat="1" ht="21" customHeight="1" thickBot="1" x14ac:dyDescent="0.25">
      <c r="A138" s="94"/>
      <c r="B138" s="463" t="s">
        <v>219</v>
      </c>
      <c r="C138" s="464"/>
      <c r="D138" s="464"/>
      <c r="E138" s="465"/>
      <c r="F138" s="466" t="s">
        <v>4</v>
      </c>
      <c r="G138" s="7" t="s">
        <v>5</v>
      </c>
      <c r="H138" s="8" t="s">
        <v>6</v>
      </c>
      <c r="I138" s="9" t="s">
        <v>7</v>
      </c>
      <c r="J138" s="9"/>
      <c r="K138" s="9"/>
      <c r="L138" s="9"/>
      <c r="M138" s="10">
        <v>4.0000000000000002E-4</v>
      </c>
      <c r="N138" s="11" t="s">
        <v>8</v>
      </c>
      <c r="O138" s="12" t="s">
        <v>9</v>
      </c>
      <c r="P138" s="12" t="s">
        <v>10</v>
      </c>
      <c r="Q138" s="13" t="s">
        <v>11</v>
      </c>
      <c r="R138" s="12" t="s">
        <v>12</v>
      </c>
      <c r="S138" s="14" t="s">
        <v>11</v>
      </c>
      <c r="T138" s="15" t="s">
        <v>13</v>
      </c>
      <c r="U138" s="16" t="s">
        <v>11</v>
      </c>
      <c r="V138" s="17" t="s">
        <v>12</v>
      </c>
      <c r="W138" s="18" t="s">
        <v>14</v>
      </c>
      <c r="X138" s="19" t="s">
        <v>15</v>
      </c>
      <c r="Y138" s="15" t="s">
        <v>16</v>
      </c>
      <c r="Z138" s="13" t="s">
        <v>17</v>
      </c>
      <c r="AA138" s="20" t="s">
        <v>18</v>
      </c>
      <c r="AB138" s="17" t="s">
        <v>19</v>
      </c>
      <c r="AC138" s="13" t="s">
        <v>20</v>
      </c>
      <c r="AD138" s="13" t="s">
        <v>21</v>
      </c>
      <c r="AE138" s="13" t="s">
        <v>22</v>
      </c>
      <c r="AF138" s="17" t="s">
        <v>23</v>
      </c>
      <c r="AG138" s="12" t="s">
        <v>24</v>
      </c>
      <c r="AH138" s="132"/>
      <c r="AI138" s="132"/>
      <c r="AJ138" s="463" t="s">
        <v>219</v>
      </c>
      <c r="AK138" s="464"/>
      <c r="AL138" s="464"/>
      <c r="AM138" s="465"/>
      <c r="AN138" s="466" t="s">
        <v>4</v>
      </c>
      <c r="AO138" s="133" t="s">
        <v>11</v>
      </c>
      <c r="AP138" s="12" t="s">
        <v>12</v>
      </c>
      <c r="AQ138" s="23" t="s">
        <v>15</v>
      </c>
      <c r="AR138" s="22" t="s">
        <v>16</v>
      </c>
      <c r="AS138" s="22" t="s">
        <v>25</v>
      </c>
      <c r="AT138" s="20" t="s">
        <v>26</v>
      </c>
      <c r="AU138" s="24" t="s">
        <v>27</v>
      </c>
      <c r="AV138" s="23" t="s">
        <v>20</v>
      </c>
      <c r="AW138" s="22" t="s">
        <v>28</v>
      </c>
      <c r="AX138" s="22" t="s">
        <v>29</v>
      </c>
      <c r="AY138" s="25" t="s">
        <v>23</v>
      </c>
      <c r="AZ138" s="24" t="s">
        <v>24</v>
      </c>
      <c r="BA138" s="94"/>
      <c r="BB138" s="92"/>
      <c r="BC138" s="95"/>
      <c r="BD138" s="95"/>
      <c r="BE138" s="95"/>
      <c r="BF138" s="94"/>
      <c r="BG138" s="94"/>
      <c r="BH138" s="94"/>
      <c r="BI138" s="94"/>
      <c r="BJ138" s="94"/>
      <c r="BK138" s="94"/>
      <c r="BL138" s="94"/>
      <c r="BM138" s="94"/>
      <c r="BN138" s="94"/>
      <c r="BO138" s="94"/>
      <c r="BP138" s="94"/>
      <c r="BQ138" s="94"/>
      <c r="BR138" s="94"/>
      <c r="BS138" s="94"/>
      <c r="BT138" s="94"/>
      <c r="BU138" s="94"/>
      <c r="BV138" s="94"/>
      <c r="BW138" s="94"/>
      <c r="BX138" s="94"/>
      <c r="BY138" s="94"/>
      <c r="BZ138" s="94"/>
      <c r="CA138" s="94"/>
      <c r="CB138" s="94"/>
      <c r="CC138" s="94"/>
      <c r="CD138" s="94"/>
      <c r="CE138" s="94"/>
      <c r="CF138" s="94"/>
      <c r="CG138" s="94"/>
      <c r="CH138" s="94"/>
      <c r="CI138" s="94"/>
      <c r="CJ138" s="94"/>
      <c r="CK138" s="94"/>
      <c r="CL138" s="94"/>
      <c r="CM138" s="94"/>
      <c r="CN138" s="94"/>
      <c r="CO138" s="94"/>
      <c r="CP138" s="94"/>
      <c r="CQ138" s="94"/>
      <c r="CR138" s="94"/>
      <c r="CS138" s="94"/>
      <c r="CT138" s="94"/>
      <c r="CU138" s="94"/>
      <c r="CV138" s="94"/>
      <c r="CW138" s="94"/>
      <c r="CX138" s="94"/>
      <c r="CY138" s="94"/>
      <c r="CZ138" s="94"/>
      <c r="DA138" s="94"/>
      <c r="DB138" s="94"/>
      <c r="DC138" s="94"/>
      <c r="DD138" s="94"/>
      <c r="DE138" s="94"/>
      <c r="DF138" s="94"/>
      <c r="DG138" s="94"/>
      <c r="DH138" s="94"/>
      <c r="DI138" s="94"/>
      <c r="DJ138" s="94"/>
      <c r="DK138" s="94"/>
      <c r="DL138" s="94"/>
      <c r="DM138" s="94"/>
      <c r="DN138" s="94"/>
      <c r="DO138" s="94"/>
      <c r="DP138" s="94"/>
      <c r="DQ138" s="94"/>
      <c r="DR138" s="94"/>
      <c r="DS138" s="94"/>
      <c r="DT138" s="94"/>
      <c r="DU138" s="94"/>
      <c r="DV138" s="94"/>
      <c r="DW138" s="94"/>
      <c r="DX138" s="94"/>
      <c r="DY138" s="94"/>
      <c r="DZ138" s="94"/>
      <c r="EA138" s="94"/>
      <c r="EB138" s="94"/>
      <c r="EC138" s="94"/>
      <c r="ED138" s="94"/>
      <c r="EE138" s="94"/>
      <c r="EF138" s="94"/>
      <c r="EG138" s="94"/>
      <c r="EH138" s="94"/>
      <c r="EI138" s="94"/>
      <c r="EJ138" s="94"/>
      <c r="EK138" s="94"/>
      <c r="EL138" s="94"/>
      <c r="EM138" s="94"/>
      <c r="EN138" s="94"/>
      <c r="EO138" s="94"/>
      <c r="EP138" s="94"/>
      <c r="EQ138" s="94"/>
      <c r="ER138" s="94"/>
      <c r="ES138" s="94"/>
      <c r="ET138" s="94"/>
      <c r="EU138" s="94"/>
      <c r="EV138" s="94"/>
      <c r="EW138" s="94"/>
      <c r="EX138" s="94"/>
      <c r="EY138" s="94"/>
      <c r="EZ138" s="94"/>
      <c r="FA138" s="94"/>
      <c r="FB138" s="94"/>
      <c r="FC138" s="94"/>
      <c r="FD138" s="94"/>
      <c r="FE138" s="94"/>
      <c r="FF138" s="94"/>
      <c r="FG138" s="94"/>
      <c r="FH138" s="94"/>
      <c r="FI138" s="94"/>
      <c r="FJ138" s="94"/>
      <c r="FK138" s="94"/>
      <c r="FL138" s="94"/>
      <c r="FM138" s="94"/>
      <c r="FN138" s="94"/>
      <c r="FO138" s="94"/>
      <c r="FP138" s="94"/>
      <c r="FQ138" s="94"/>
      <c r="FR138" s="94"/>
      <c r="FS138" s="94"/>
      <c r="FT138" s="94"/>
      <c r="FU138" s="94"/>
    </row>
    <row r="139" spans="1:177" s="134" customFormat="1" ht="21" customHeight="1" thickBot="1" x14ac:dyDescent="0.25">
      <c r="A139" s="94"/>
      <c r="B139" s="30" t="s">
        <v>30</v>
      </c>
      <c r="C139" s="6" t="s">
        <v>31</v>
      </c>
      <c r="D139" s="30" t="s">
        <v>105</v>
      </c>
      <c r="E139" s="32" t="s">
        <v>32</v>
      </c>
      <c r="F139" s="467"/>
      <c r="G139" s="33" t="s">
        <v>33</v>
      </c>
      <c r="H139" s="34">
        <v>45657</v>
      </c>
      <c r="I139" s="35">
        <v>2023</v>
      </c>
      <c r="J139" s="35"/>
      <c r="K139" s="35"/>
      <c r="L139" s="35"/>
      <c r="M139" s="36"/>
      <c r="N139" s="37"/>
      <c r="O139" s="38">
        <v>2024</v>
      </c>
      <c r="P139" s="39" t="s">
        <v>34</v>
      </c>
      <c r="Q139" s="40" t="s">
        <v>35</v>
      </c>
      <c r="R139" s="39" t="s">
        <v>36</v>
      </c>
      <c r="S139" s="41" t="s">
        <v>37</v>
      </c>
      <c r="T139" s="42" t="s">
        <v>38</v>
      </c>
      <c r="U139" s="43" t="s">
        <v>39</v>
      </c>
      <c r="V139" s="41" t="s">
        <v>39</v>
      </c>
      <c r="W139" s="44" t="s">
        <v>15</v>
      </c>
      <c r="X139" s="45" t="s">
        <v>35</v>
      </c>
      <c r="Y139" s="42" t="s">
        <v>35</v>
      </c>
      <c r="Z139" s="40" t="s">
        <v>35</v>
      </c>
      <c r="AA139" s="46" t="s">
        <v>35</v>
      </c>
      <c r="AB139" s="41" t="s">
        <v>35</v>
      </c>
      <c r="AC139" s="40" t="s">
        <v>35</v>
      </c>
      <c r="AD139" s="40" t="s">
        <v>35</v>
      </c>
      <c r="AE139" s="40" t="s">
        <v>35</v>
      </c>
      <c r="AF139" s="41" t="s">
        <v>35</v>
      </c>
      <c r="AG139" s="40" t="s">
        <v>35</v>
      </c>
      <c r="AH139" s="135"/>
      <c r="AI139" s="135"/>
      <c r="AJ139" s="30" t="s">
        <v>30</v>
      </c>
      <c r="AK139" s="6" t="s">
        <v>31</v>
      </c>
      <c r="AL139" s="30" t="s">
        <v>105</v>
      </c>
      <c r="AM139" s="32" t="s">
        <v>32</v>
      </c>
      <c r="AN139" s="467"/>
      <c r="AO139" s="46" t="s">
        <v>40</v>
      </c>
      <c r="AP139" s="39" t="s">
        <v>41</v>
      </c>
      <c r="AQ139" s="48" t="s">
        <v>40</v>
      </c>
      <c r="AR139" s="49" t="s">
        <v>40</v>
      </c>
      <c r="AS139" s="49" t="s">
        <v>40</v>
      </c>
      <c r="AT139" s="46" t="s">
        <v>40</v>
      </c>
      <c r="AU139" s="49" t="s">
        <v>40</v>
      </c>
      <c r="AV139" s="48" t="s">
        <v>40</v>
      </c>
      <c r="AW139" s="49" t="s">
        <v>40</v>
      </c>
      <c r="AX139" s="49" t="s">
        <v>40</v>
      </c>
      <c r="AY139" s="48" t="s">
        <v>40</v>
      </c>
      <c r="AZ139" s="49" t="s">
        <v>40</v>
      </c>
      <c r="BA139" s="94"/>
      <c r="BB139" s="92"/>
      <c r="BC139" s="95"/>
      <c r="BD139" s="95"/>
      <c r="BE139" s="95"/>
      <c r="BF139" s="94"/>
      <c r="BG139" s="94"/>
      <c r="BH139" s="94"/>
      <c r="BI139" s="94"/>
      <c r="BJ139" s="94"/>
      <c r="BK139" s="94"/>
      <c r="BL139" s="94"/>
      <c r="BM139" s="94"/>
      <c r="BN139" s="94"/>
      <c r="BO139" s="94"/>
      <c r="BP139" s="94"/>
      <c r="BQ139" s="94"/>
      <c r="BR139" s="94"/>
      <c r="BS139" s="94"/>
      <c r="BT139" s="94"/>
      <c r="BU139" s="94"/>
      <c r="BV139" s="94"/>
      <c r="BW139" s="94"/>
      <c r="BX139" s="94"/>
      <c r="BY139" s="94"/>
      <c r="BZ139" s="94"/>
      <c r="CA139" s="94"/>
      <c r="CB139" s="94"/>
      <c r="CC139" s="94"/>
      <c r="CD139" s="94"/>
      <c r="CE139" s="94"/>
      <c r="CF139" s="94"/>
      <c r="CG139" s="94"/>
      <c r="CH139" s="94"/>
      <c r="CI139" s="94"/>
      <c r="CJ139" s="94"/>
      <c r="CK139" s="94"/>
      <c r="CL139" s="94"/>
      <c r="CM139" s="94"/>
      <c r="CN139" s="94"/>
      <c r="CO139" s="94"/>
      <c r="CP139" s="94"/>
      <c r="CQ139" s="94"/>
      <c r="CR139" s="94"/>
      <c r="CS139" s="94"/>
      <c r="CT139" s="94"/>
      <c r="CU139" s="94"/>
      <c r="CV139" s="94"/>
      <c r="CW139" s="94"/>
      <c r="CX139" s="94"/>
      <c r="CY139" s="94"/>
      <c r="CZ139" s="94"/>
      <c r="DA139" s="94"/>
      <c r="DB139" s="94"/>
      <c r="DC139" s="94"/>
      <c r="DD139" s="94"/>
      <c r="DE139" s="94"/>
      <c r="DF139" s="94"/>
      <c r="DG139" s="94"/>
      <c r="DH139" s="94"/>
      <c r="DI139" s="94"/>
      <c r="DJ139" s="94"/>
      <c r="DK139" s="94"/>
      <c r="DL139" s="94"/>
      <c r="DM139" s="94"/>
      <c r="DN139" s="94"/>
      <c r="DO139" s="94"/>
      <c r="DP139" s="94"/>
      <c r="DQ139" s="94"/>
      <c r="DR139" s="94"/>
      <c r="DS139" s="94"/>
      <c r="DT139" s="94"/>
      <c r="DU139" s="94"/>
      <c r="DV139" s="94"/>
      <c r="DW139" s="94"/>
      <c r="DX139" s="94"/>
      <c r="DY139" s="94"/>
      <c r="DZ139" s="94"/>
      <c r="EA139" s="94"/>
      <c r="EB139" s="94"/>
      <c r="EC139" s="94"/>
      <c r="ED139" s="94"/>
      <c r="EE139" s="94"/>
      <c r="EF139" s="94"/>
      <c r="EG139" s="94"/>
      <c r="EH139" s="94"/>
      <c r="EI139" s="94"/>
      <c r="EJ139" s="94"/>
      <c r="EK139" s="94"/>
      <c r="EL139" s="94"/>
      <c r="EM139" s="94"/>
      <c r="EN139" s="94"/>
      <c r="EO139" s="94"/>
      <c r="EP139" s="94"/>
      <c r="EQ139" s="94"/>
      <c r="ER139" s="94"/>
      <c r="ES139" s="94"/>
      <c r="ET139" s="94"/>
      <c r="EU139" s="94"/>
      <c r="EV139" s="94"/>
      <c r="EW139" s="94"/>
      <c r="EX139" s="94"/>
      <c r="EY139" s="94"/>
      <c r="EZ139" s="94"/>
      <c r="FA139" s="94"/>
      <c r="FB139" s="94"/>
      <c r="FC139" s="94"/>
      <c r="FD139" s="94"/>
      <c r="FE139" s="94"/>
      <c r="FF139" s="94"/>
      <c r="FG139" s="94"/>
      <c r="FH139" s="94"/>
      <c r="FI139" s="94"/>
      <c r="FJ139" s="94"/>
      <c r="FK139" s="94"/>
      <c r="FL139" s="94"/>
      <c r="FM139" s="94"/>
      <c r="FN139" s="94"/>
      <c r="FO139" s="94"/>
      <c r="FP139" s="94"/>
      <c r="FQ139" s="94"/>
      <c r="FR139" s="94"/>
      <c r="FS139" s="94"/>
      <c r="FT139" s="94"/>
      <c r="FU139" s="94"/>
    </row>
    <row r="140" spans="1:177" s="364" customFormat="1" ht="21" customHeight="1" x14ac:dyDescent="0.2">
      <c r="B140" s="365">
        <v>1</v>
      </c>
      <c r="C140" s="372" t="s">
        <v>42</v>
      </c>
      <c r="D140" s="365">
        <v>19024</v>
      </c>
      <c r="E140" s="371" t="s">
        <v>220</v>
      </c>
      <c r="F140" s="364" t="s">
        <v>221</v>
      </c>
      <c r="G140" s="384">
        <v>40909</v>
      </c>
      <c r="H140" s="55" t="str">
        <f t="shared" ref="H140:H149" si="187" xml:space="preserve"> CONCATENATE(DATEDIF(G140,H$5,"Y")," AÑOS")</f>
        <v>12 AÑOS</v>
      </c>
      <c r="I140" s="57">
        <v>7822.9623119463167</v>
      </c>
      <c r="J140" s="57"/>
      <c r="K140" s="57"/>
      <c r="L140" s="74"/>
      <c r="M140" s="171">
        <v>4.0000000000000002E-4</v>
      </c>
      <c r="N140" s="81">
        <f t="shared" ref="N140:N150" si="188">I140*0.04</f>
        <v>312.91849247785268</v>
      </c>
      <c r="O140" s="57">
        <f t="shared" ref="O140:O156" si="189">I140+N140</f>
        <v>8135.8808044241696</v>
      </c>
      <c r="P140" s="81">
        <f t="shared" ref="P140:P156" si="190">O140*2</f>
        <v>16271.761608848339</v>
      </c>
      <c r="Q140" s="81">
        <f t="shared" ref="Q140:Q156" si="191">P140*0.75</f>
        <v>12203.821206636254</v>
      </c>
      <c r="R140" s="81">
        <f t="shared" ref="R140:R156" si="192">P140*0.25</f>
        <v>4067.9404022120848</v>
      </c>
      <c r="S140" s="81">
        <f t="shared" ref="S140:S156" si="193">(P140/30)</f>
        <v>542.39205362827795</v>
      </c>
      <c r="T140" s="57">
        <f t="shared" ref="T140:T156" si="194">S140*1.1479</f>
        <v>622.61183835990016</v>
      </c>
      <c r="U140" s="81">
        <f t="shared" ref="U140:U156" si="195">O140*0.75</f>
        <v>6101.910603318127</v>
      </c>
      <c r="V140" s="57">
        <f t="shared" ref="V140:V156" si="196">O140*0.25</f>
        <v>2033.9702011060424</v>
      </c>
      <c r="W140" s="101">
        <v>0</v>
      </c>
      <c r="X140" s="158">
        <f t="shared" ref="X140:X156" si="197">P140*W140</f>
        <v>0</v>
      </c>
      <c r="Y140" s="81">
        <v>1077.5681930618007</v>
      </c>
      <c r="Z140" s="81">
        <v>0</v>
      </c>
      <c r="AA140" s="81">
        <f t="shared" ref="AA140:AA156" si="198">(S140*45)/12</f>
        <v>2033.9702011060424</v>
      </c>
      <c r="AB140" s="81">
        <f t="shared" ref="AB140:AB156" si="199">(S140*10)*(0.45*2)/12</f>
        <v>406.79404022120849</v>
      </c>
      <c r="AC140" s="81">
        <v>2542.6980454117233</v>
      </c>
      <c r="AD140" s="81">
        <v>1631.8967589332165</v>
      </c>
      <c r="AE140" s="81">
        <v>965.04834945784535</v>
      </c>
      <c r="AF140" s="81">
        <v>0</v>
      </c>
      <c r="AG140" s="81">
        <f t="shared" ref="AG140:AG156" si="200">(P140+AA140+AB140)*0.03</f>
        <v>561.3757755052676</v>
      </c>
      <c r="AH140" s="64"/>
      <c r="AI140" s="64"/>
      <c r="AJ140" s="365">
        <v>1</v>
      </c>
      <c r="AK140" s="372" t="s">
        <v>42</v>
      </c>
      <c r="AL140" s="365">
        <v>19024</v>
      </c>
      <c r="AM140" s="371" t="s">
        <v>220</v>
      </c>
      <c r="AN140" s="364" t="s">
        <v>221</v>
      </c>
      <c r="AO140" s="368">
        <f t="shared" ref="AO140:AP140" si="201">Q140*3</f>
        <v>36611.463619908762</v>
      </c>
      <c r="AP140" s="368">
        <f t="shared" si="201"/>
        <v>12203.821206636254</v>
      </c>
      <c r="AQ140" s="368">
        <f t="shared" ref="AQ140:AZ140" si="202">X140*3</f>
        <v>0</v>
      </c>
      <c r="AR140" s="368">
        <f t="shared" si="202"/>
        <v>3232.7045791854021</v>
      </c>
      <c r="AS140" s="368">
        <f t="shared" si="202"/>
        <v>0</v>
      </c>
      <c r="AT140" s="368">
        <f t="shared" si="202"/>
        <v>6101.910603318127</v>
      </c>
      <c r="AU140" s="368">
        <f t="shared" si="202"/>
        <v>1220.3821206636255</v>
      </c>
      <c r="AV140" s="368">
        <f t="shared" si="202"/>
        <v>7628.0941362351696</v>
      </c>
      <c r="AW140" s="368">
        <f t="shared" si="202"/>
        <v>4895.6902767996489</v>
      </c>
      <c r="AX140" s="368">
        <f t="shared" si="202"/>
        <v>2895.1450483735362</v>
      </c>
      <c r="AY140" s="368">
        <f t="shared" si="202"/>
        <v>0</v>
      </c>
      <c r="AZ140" s="368">
        <f t="shared" si="202"/>
        <v>1684.1273265158029</v>
      </c>
      <c r="BB140" s="64"/>
      <c r="BC140" s="66"/>
      <c r="BD140" s="66"/>
      <c r="BE140" s="66"/>
    </row>
    <row r="141" spans="1:177" ht="21" customHeight="1" x14ac:dyDescent="0.2">
      <c r="B141" s="67">
        <v>2</v>
      </c>
      <c r="C141" s="73" t="s">
        <v>42</v>
      </c>
      <c r="D141" s="67">
        <v>6163</v>
      </c>
      <c r="E141" s="72" t="s">
        <v>222</v>
      </c>
      <c r="F141" s="79" t="s">
        <v>223</v>
      </c>
      <c r="G141" s="55">
        <v>44993</v>
      </c>
      <c r="H141" s="56" t="str">
        <f t="shared" si="187"/>
        <v>1 AÑOS</v>
      </c>
      <c r="I141" s="57">
        <v>13454.500221143389</v>
      </c>
      <c r="J141" s="58"/>
      <c r="K141" s="58"/>
      <c r="L141" s="59"/>
      <c r="M141" s="60">
        <v>4.0000000000000002E-4</v>
      </c>
      <c r="N141" s="61">
        <f t="shared" si="188"/>
        <v>538.18000884573553</v>
      </c>
      <c r="O141" s="58">
        <f t="shared" si="189"/>
        <v>13992.680229989124</v>
      </c>
      <c r="P141" s="61">
        <f t="shared" si="190"/>
        <v>27985.360459978248</v>
      </c>
      <c r="Q141" s="61">
        <f t="shared" si="191"/>
        <v>20989.020344983684</v>
      </c>
      <c r="R141" s="61">
        <f t="shared" si="192"/>
        <v>6996.3401149945621</v>
      </c>
      <c r="S141" s="61">
        <f t="shared" si="193"/>
        <v>932.84534866594163</v>
      </c>
      <c r="T141" s="58">
        <f t="shared" si="194"/>
        <v>1070.8131757336344</v>
      </c>
      <c r="U141" s="61">
        <f t="shared" si="195"/>
        <v>10494.510172491842</v>
      </c>
      <c r="V141" s="58">
        <f t="shared" si="196"/>
        <v>3498.1700574972811</v>
      </c>
      <c r="W141" s="62">
        <v>0</v>
      </c>
      <c r="X141" s="63">
        <f t="shared" si="197"/>
        <v>0</v>
      </c>
      <c r="Y141" s="61">
        <v>2837.130793688515</v>
      </c>
      <c r="Z141" s="61">
        <v>0</v>
      </c>
      <c r="AA141" s="61">
        <f t="shared" si="198"/>
        <v>3498.1700574972815</v>
      </c>
      <c r="AB141" s="61">
        <f t="shared" si="199"/>
        <v>699.63401149945628</v>
      </c>
      <c r="AC141" s="61">
        <v>3978.3386066339926</v>
      </c>
      <c r="AD141" s="61">
        <v>2806.654874256642</v>
      </c>
      <c r="AE141" s="61">
        <v>1659.7604223871331</v>
      </c>
      <c r="AF141" s="61">
        <v>0</v>
      </c>
      <c r="AG141" s="61">
        <f t="shared" si="200"/>
        <v>965.49493586924962</v>
      </c>
      <c r="AH141" s="64"/>
      <c r="AI141" s="64"/>
      <c r="AJ141" s="67">
        <v>2</v>
      </c>
      <c r="AK141" s="73" t="s">
        <v>42</v>
      </c>
      <c r="AL141" s="67">
        <v>6163</v>
      </c>
      <c r="AM141" s="72" t="s">
        <v>222</v>
      </c>
      <c r="AN141" s="79" t="s">
        <v>223</v>
      </c>
      <c r="AO141" s="138">
        <f t="shared" ref="AO141:AO150" si="203">Q141*12</f>
        <v>251868.24413980421</v>
      </c>
      <c r="AP141" s="65">
        <f t="shared" ref="AP141:AP150" si="204">R141*12</f>
        <v>83956.081379934738</v>
      </c>
      <c r="AQ141" s="65">
        <f t="shared" ref="AQ141:AQ150" si="205">X141*12</f>
        <v>0</v>
      </c>
      <c r="AR141" s="65">
        <f t="shared" ref="AR141:AR150" si="206">Y141*12</f>
        <v>34045.56952426218</v>
      </c>
      <c r="AS141" s="65">
        <f t="shared" ref="AS141:AS150" si="207">Z141*12</f>
        <v>0</v>
      </c>
      <c r="AT141" s="65">
        <f t="shared" ref="AT141:AT150" si="208">AA141*12</f>
        <v>41978.040689967376</v>
      </c>
      <c r="AU141" s="65">
        <f t="shared" ref="AU141:AU150" si="209">AB141*12</f>
        <v>8395.6081379934749</v>
      </c>
      <c r="AV141" s="65">
        <f t="shared" ref="AV141:AV150" si="210">AC141*12</f>
        <v>47740.063279607915</v>
      </c>
      <c r="AW141" s="65">
        <f t="shared" ref="AW141:AW150" si="211">AD141*12</f>
        <v>33679.858491079707</v>
      </c>
      <c r="AX141" s="65">
        <f t="shared" ref="AX141:AX150" si="212">AE141*12</f>
        <v>19917.125068645597</v>
      </c>
      <c r="AY141" s="65">
        <f t="shared" ref="AY141:AY150" si="213">AF141*12</f>
        <v>0</v>
      </c>
      <c r="AZ141" s="65">
        <f t="shared" ref="AZ141:AZ150" si="214">AG141*12</f>
        <v>11585.939230430995</v>
      </c>
      <c r="BB141" s="64"/>
      <c r="BC141" s="66"/>
      <c r="BD141" s="66"/>
      <c r="BE141" s="66"/>
    </row>
    <row r="142" spans="1:177" s="103" customFormat="1" ht="21" customHeight="1" x14ac:dyDescent="0.2">
      <c r="A142" s="50"/>
      <c r="B142" s="51">
        <v>3</v>
      </c>
      <c r="C142" s="73" t="s">
        <v>42</v>
      </c>
      <c r="D142" s="67">
        <v>6055</v>
      </c>
      <c r="E142" s="72" t="s">
        <v>224</v>
      </c>
      <c r="F142" s="72" t="s">
        <v>225</v>
      </c>
      <c r="G142" s="55">
        <v>37987</v>
      </c>
      <c r="H142" s="56" t="str">
        <f t="shared" si="187"/>
        <v>20 AÑOS</v>
      </c>
      <c r="I142" s="57">
        <v>13454.500221143389</v>
      </c>
      <c r="J142" s="58"/>
      <c r="K142" s="57"/>
      <c r="L142" s="59"/>
      <c r="M142" s="60">
        <v>4.0000000000000002E-4</v>
      </c>
      <c r="N142" s="61">
        <f t="shared" si="188"/>
        <v>538.18000884573553</v>
      </c>
      <c r="O142" s="58">
        <f t="shared" si="189"/>
        <v>13992.680229989124</v>
      </c>
      <c r="P142" s="61">
        <f t="shared" si="190"/>
        <v>27985.360459978248</v>
      </c>
      <c r="Q142" s="61">
        <f t="shared" si="191"/>
        <v>20989.020344983684</v>
      </c>
      <c r="R142" s="61">
        <f t="shared" si="192"/>
        <v>6996.3401149945621</v>
      </c>
      <c r="S142" s="61">
        <f t="shared" si="193"/>
        <v>932.84534866594163</v>
      </c>
      <c r="T142" s="58">
        <f t="shared" si="194"/>
        <v>1070.8131757336344</v>
      </c>
      <c r="U142" s="61">
        <f t="shared" si="195"/>
        <v>10494.510172491842</v>
      </c>
      <c r="V142" s="58">
        <f t="shared" si="196"/>
        <v>3498.1700574972811</v>
      </c>
      <c r="W142" s="62">
        <v>0</v>
      </c>
      <c r="X142" s="63">
        <f t="shared" si="197"/>
        <v>0</v>
      </c>
      <c r="Y142" s="61">
        <v>2837.130793688515</v>
      </c>
      <c r="Z142" s="61">
        <v>0</v>
      </c>
      <c r="AA142" s="61">
        <f t="shared" si="198"/>
        <v>3498.1700574972815</v>
      </c>
      <c r="AB142" s="61">
        <f t="shared" si="199"/>
        <v>699.63401149945628</v>
      </c>
      <c r="AC142" s="61">
        <v>3978.3386066339926</v>
      </c>
      <c r="AD142" s="61">
        <v>2806.654874256642</v>
      </c>
      <c r="AE142" s="61">
        <v>1659.7604223871331</v>
      </c>
      <c r="AF142" s="61">
        <v>0</v>
      </c>
      <c r="AG142" s="61">
        <f t="shared" si="200"/>
        <v>965.49493586924962</v>
      </c>
      <c r="AH142" s="64"/>
      <c r="AI142" s="64"/>
      <c r="AJ142" s="51">
        <v>3</v>
      </c>
      <c r="AK142" s="73" t="s">
        <v>42</v>
      </c>
      <c r="AL142" s="67">
        <v>6055</v>
      </c>
      <c r="AM142" s="72" t="s">
        <v>224</v>
      </c>
      <c r="AN142" s="72" t="s">
        <v>225</v>
      </c>
      <c r="AO142" s="138">
        <f t="shared" si="203"/>
        <v>251868.24413980421</v>
      </c>
      <c r="AP142" s="65">
        <f t="shared" si="204"/>
        <v>83956.081379934738</v>
      </c>
      <c r="AQ142" s="65">
        <f t="shared" si="205"/>
        <v>0</v>
      </c>
      <c r="AR142" s="65">
        <f t="shared" si="206"/>
        <v>34045.56952426218</v>
      </c>
      <c r="AS142" s="65">
        <f t="shared" si="207"/>
        <v>0</v>
      </c>
      <c r="AT142" s="65">
        <f t="shared" si="208"/>
        <v>41978.040689967376</v>
      </c>
      <c r="AU142" s="65">
        <f t="shared" si="209"/>
        <v>8395.6081379934749</v>
      </c>
      <c r="AV142" s="65">
        <f t="shared" si="210"/>
        <v>47740.063279607915</v>
      </c>
      <c r="AW142" s="65">
        <f t="shared" si="211"/>
        <v>33679.858491079707</v>
      </c>
      <c r="AX142" s="65">
        <f t="shared" si="212"/>
        <v>19917.125068645597</v>
      </c>
      <c r="AY142" s="65">
        <f t="shared" si="213"/>
        <v>0</v>
      </c>
      <c r="AZ142" s="65">
        <f t="shared" si="214"/>
        <v>11585.939230430995</v>
      </c>
      <c r="BA142" s="50"/>
      <c r="BB142" s="64"/>
      <c r="BC142" s="66"/>
      <c r="BD142" s="66"/>
      <c r="BE142" s="66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  <c r="FP142" s="50"/>
      <c r="FQ142" s="50"/>
      <c r="FR142" s="50"/>
      <c r="FS142" s="50"/>
      <c r="FT142" s="50"/>
      <c r="FU142" s="50"/>
    </row>
    <row r="143" spans="1:177" ht="21" customHeight="1" x14ac:dyDescent="0.2">
      <c r="B143" s="67">
        <v>4</v>
      </c>
      <c r="C143" s="73" t="s">
        <v>42</v>
      </c>
      <c r="D143" s="67">
        <v>6079</v>
      </c>
      <c r="E143" s="72" t="s">
        <v>226</v>
      </c>
      <c r="F143" s="72" t="s">
        <v>227</v>
      </c>
      <c r="G143" s="55">
        <v>39588</v>
      </c>
      <c r="H143" s="56" t="str">
        <f t="shared" si="187"/>
        <v>16 AÑOS</v>
      </c>
      <c r="I143" s="187">
        <v>13454.500221143389</v>
      </c>
      <c r="J143" s="75"/>
      <c r="K143" s="75"/>
      <c r="L143" s="137"/>
      <c r="M143" s="60">
        <v>4.0000000000000002E-4</v>
      </c>
      <c r="N143" s="61">
        <f t="shared" si="188"/>
        <v>538.18000884573553</v>
      </c>
      <c r="O143" s="58">
        <f t="shared" si="189"/>
        <v>13992.680229989124</v>
      </c>
      <c r="P143" s="61">
        <f t="shared" si="190"/>
        <v>27985.360459978248</v>
      </c>
      <c r="Q143" s="61">
        <f t="shared" si="191"/>
        <v>20989.020344983684</v>
      </c>
      <c r="R143" s="61">
        <f t="shared" si="192"/>
        <v>6996.3401149945621</v>
      </c>
      <c r="S143" s="61">
        <f t="shared" si="193"/>
        <v>932.84534866594163</v>
      </c>
      <c r="T143" s="58">
        <f t="shared" si="194"/>
        <v>1070.8131757336344</v>
      </c>
      <c r="U143" s="61">
        <f t="shared" si="195"/>
        <v>10494.510172491842</v>
      </c>
      <c r="V143" s="58">
        <f t="shared" si="196"/>
        <v>3498.1700574972811</v>
      </c>
      <c r="W143" s="62">
        <v>0</v>
      </c>
      <c r="X143" s="63">
        <f t="shared" si="197"/>
        <v>0</v>
      </c>
      <c r="Y143" s="61">
        <v>2837.130793688515</v>
      </c>
      <c r="Z143" s="61">
        <v>0</v>
      </c>
      <c r="AA143" s="61">
        <f t="shared" si="198"/>
        <v>3498.1700574972815</v>
      </c>
      <c r="AB143" s="61">
        <f t="shared" si="199"/>
        <v>699.63401149945628</v>
      </c>
      <c r="AC143" s="61">
        <v>3978.3386066339926</v>
      </c>
      <c r="AD143" s="61">
        <v>2806.654874256642</v>
      </c>
      <c r="AE143" s="61">
        <v>1659.7604223871331</v>
      </c>
      <c r="AF143" s="61">
        <v>0</v>
      </c>
      <c r="AG143" s="61">
        <f t="shared" si="200"/>
        <v>965.49493586924962</v>
      </c>
      <c r="AH143" s="64"/>
      <c r="AI143" s="64"/>
      <c r="AJ143" s="67">
        <v>4</v>
      </c>
      <c r="AK143" s="73" t="s">
        <v>42</v>
      </c>
      <c r="AL143" s="67">
        <v>6079</v>
      </c>
      <c r="AM143" s="72" t="s">
        <v>226</v>
      </c>
      <c r="AN143" s="72" t="s">
        <v>227</v>
      </c>
      <c r="AO143" s="138">
        <f t="shared" si="203"/>
        <v>251868.24413980421</v>
      </c>
      <c r="AP143" s="65">
        <f t="shared" si="204"/>
        <v>83956.081379934738</v>
      </c>
      <c r="AQ143" s="65">
        <f t="shared" si="205"/>
        <v>0</v>
      </c>
      <c r="AR143" s="65">
        <f t="shared" si="206"/>
        <v>34045.56952426218</v>
      </c>
      <c r="AS143" s="65">
        <f t="shared" si="207"/>
        <v>0</v>
      </c>
      <c r="AT143" s="65">
        <f t="shared" si="208"/>
        <v>41978.040689967376</v>
      </c>
      <c r="AU143" s="65">
        <f t="shared" si="209"/>
        <v>8395.6081379934749</v>
      </c>
      <c r="AV143" s="65">
        <f t="shared" si="210"/>
        <v>47740.063279607915</v>
      </c>
      <c r="AW143" s="65">
        <f t="shared" si="211"/>
        <v>33679.858491079707</v>
      </c>
      <c r="AX143" s="65">
        <f t="shared" si="212"/>
        <v>19917.125068645597</v>
      </c>
      <c r="AY143" s="65">
        <f t="shared" si="213"/>
        <v>0</v>
      </c>
      <c r="AZ143" s="65">
        <f t="shared" si="214"/>
        <v>11585.939230430995</v>
      </c>
      <c r="BB143" s="64"/>
      <c r="BC143" s="66"/>
      <c r="BD143" s="66"/>
      <c r="BE143" s="66"/>
    </row>
    <row r="144" spans="1:177" ht="21" customHeight="1" x14ac:dyDescent="0.2">
      <c r="B144" s="51">
        <v>5</v>
      </c>
      <c r="C144" s="73" t="s">
        <v>42</v>
      </c>
      <c r="D144" s="67">
        <v>6144</v>
      </c>
      <c r="E144" s="72" t="s">
        <v>228</v>
      </c>
      <c r="F144" s="72" t="s">
        <v>229</v>
      </c>
      <c r="G144" s="55">
        <v>43427</v>
      </c>
      <c r="H144" s="56" t="str">
        <f t="shared" si="187"/>
        <v>6 AÑOS</v>
      </c>
      <c r="I144" s="57">
        <v>6473.7189041991969</v>
      </c>
      <c r="J144" s="58"/>
      <c r="K144" s="58"/>
      <c r="L144" s="59"/>
      <c r="M144" s="60">
        <v>4.0000000000000002E-4</v>
      </c>
      <c r="N144" s="61">
        <f t="shared" si="188"/>
        <v>258.94875616796787</v>
      </c>
      <c r="O144" s="58">
        <f t="shared" si="189"/>
        <v>6732.6676603671649</v>
      </c>
      <c r="P144" s="61">
        <f t="shared" si="190"/>
        <v>13465.33532073433</v>
      </c>
      <c r="Q144" s="61">
        <f t="shared" si="191"/>
        <v>10099.001490550747</v>
      </c>
      <c r="R144" s="61">
        <f t="shared" si="192"/>
        <v>3366.3338301835824</v>
      </c>
      <c r="S144" s="61">
        <f t="shared" si="193"/>
        <v>448.84451069114431</v>
      </c>
      <c r="T144" s="58">
        <f t="shared" si="194"/>
        <v>515.22861382236454</v>
      </c>
      <c r="U144" s="61">
        <f t="shared" si="195"/>
        <v>5049.5007452753734</v>
      </c>
      <c r="V144" s="58">
        <f t="shared" si="196"/>
        <v>1683.1669150917912</v>
      </c>
      <c r="W144" s="62">
        <v>0</v>
      </c>
      <c r="X144" s="63">
        <f t="shared" si="197"/>
        <v>0</v>
      </c>
      <c r="Y144" s="61">
        <v>785.81062617192117</v>
      </c>
      <c r="Z144" s="61">
        <v>0</v>
      </c>
      <c r="AA144" s="61">
        <f t="shared" si="198"/>
        <v>1683.1669150917912</v>
      </c>
      <c r="AB144" s="61">
        <f t="shared" si="199"/>
        <v>336.63338301835824</v>
      </c>
      <c r="AC144" s="61">
        <v>2198.7371959322072</v>
      </c>
      <c r="AD144" s="61">
        <v>1350.4399582591086</v>
      </c>
      <c r="AE144" s="61">
        <v>798.60435142466508</v>
      </c>
      <c r="AF144" s="61">
        <v>0</v>
      </c>
      <c r="AG144" s="61">
        <f t="shared" si="200"/>
        <v>464.55406856533432</v>
      </c>
      <c r="AH144" s="64"/>
      <c r="AI144" s="64"/>
      <c r="AJ144" s="51">
        <v>5</v>
      </c>
      <c r="AK144" s="73" t="s">
        <v>42</v>
      </c>
      <c r="AL144" s="67">
        <v>6144</v>
      </c>
      <c r="AM144" s="72" t="s">
        <v>228</v>
      </c>
      <c r="AN144" s="72" t="s">
        <v>229</v>
      </c>
      <c r="AO144" s="138">
        <f t="shared" si="203"/>
        <v>121188.01788660896</v>
      </c>
      <c r="AP144" s="65">
        <f t="shared" si="204"/>
        <v>40396.005962202988</v>
      </c>
      <c r="AQ144" s="65">
        <f t="shared" si="205"/>
        <v>0</v>
      </c>
      <c r="AR144" s="65">
        <f t="shared" si="206"/>
        <v>9429.7275140630536</v>
      </c>
      <c r="AS144" s="65">
        <f t="shared" si="207"/>
        <v>0</v>
      </c>
      <c r="AT144" s="65">
        <f t="shared" si="208"/>
        <v>20198.002981101494</v>
      </c>
      <c r="AU144" s="65">
        <f t="shared" si="209"/>
        <v>4039.6005962202989</v>
      </c>
      <c r="AV144" s="65">
        <f t="shared" si="210"/>
        <v>26384.846351186487</v>
      </c>
      <c r="AW144" s="65">
        <f t="shared" si="211"/>
        <v>16205.279499109303</v>
      </c>
      <c r="AX144" s="65">
        <f t="shared" si="212"/>
        <v>9583.2522170959819</v>
      </c>
      <c r="AY144" s="65">
        <f t="shared" si="213"/>
        <v>0</v>
      </c>
      <c r="AZ144" s="65">
        <f t="shared" si="214"/>
        <v>5574.6488227840118</v>
      </c>
      <c r="BB144" s="64"/>
      <c r="BC144" s="66"/>
      <c r="BD144" s="66"/>
      <c r="BE144" s="66"/>
    </row>
    <row r="145" spans="1:177" ht="21" customHeight="1" x14ac:dyDescent="0.2">
      <c r="B145" s="67">
        <v>6</v>
      </c>
      <c r="C145" s="73" t="s">
        <v>42</v>
      </c>
      <c r="D145" s="67">
        <v>6089</v>
      </c>
      <c r="E145" s="72" t="s">
        <v>230</v>
      </c>
      <c r="F145" s="72" t="s">
        <v>229</v>
      </c>
      <c r="G145" s="55">
        <v>40122</v>
      </c>
      <c r="H145" s="56" t="str">
        <f t="shared" si="187"/>
        <v>15 AÑOS</v>
      </c>
      <c r="I145" s="57">
        <v>6473.7189041991969</v>
      </c>
      <c r="J145" s="58"/>
      <c r="K145" s="58"/>
      <c r="L145" s="59"/>
      <c r="M145" s="60">
        <v>4.0000000000000002E-4</v>
      </c>
      <c r="N145" s="61">
        <f t="shared" si="188"/>
        <v>258.94875616796787</v>
      </c>
      <c r="O145" s="58">
        <f t="shared" si="189"/>
        <v>6732.6676603671649</v>
      </c>
      <c r="P145" s="61">
        <f t="shared" si="190"/>
        <v>13465.33532073433</v>
      </c>
      <c r="Q145" s="61">
        <f t="shared" si="191"/>
        <v>10099.001490550747</v>
      </c>
      <c r="R145" s="61">
        <f t="shared" si="192"/>
        <v>3366.3338301835824</v>
      </c>
      <c r="S145" s="61">
        <f t="shared" si="193"/>
        <v>448.84451069114431</v>
      </c>
      <c r="T145" s="58">
        <f t="shared" si="194"/>
        <v>515.22861382236454</v>
      </c>
      <c r="U145" s="61">
        <f t="shared" si="195"/>
        <v>5049.5007452753734</v>
      </c>
      <c r="V145" s="58">
        <f t="shared" si="196"/>
        <v>1683.1669150917912</v>
      </c>
      <c r="W145" s="62">
        <v>0</v>
      </c>
      <c r="X145" s="63">
        <f t="shared" si="197"/>
        <v>0</v>
      </c>
      <c r="Y145" s="61">
        <v>785.81062617192117</v>
      </c>
      <c r="Z145" s="61">
        <v>0</v>
      </c>
      <c r="AA145" s="61">
        <f t="shared" si="198"/>
        <v>1683.1669150917912</v>
      </c>
      <c r="AB145" s="61">
        <f t="shared" si="199"/>
        <v>336.63338301835824</v>
      </c>
      <c r="AC145" s="61">
        <v>2198.7371959322072</v>
      </c>
      <c r="AD145" s="61">
        <v>1350.4399582591086</v>
      </c>
      <c r="AE145" s="61">
        <v>798.60435142466508</v>
      </c>
      <c r="AF145" s="61">
        <v>0</v>
      </c>
      <c r="AG145" s="61">
        <f t="shared" si="200"/>
        <v>464.55406856533432</v>
      </c>
      <c r="AH145" s="64"/>
      <c r="AI145" s="64"/>
      <c r="AJ145" s="67">
        <v>6</v>
      </c>
      <c r="AK145" s="73" t="s">
        <v>42</v>
      </c>
      <c r="AL145" s="67">
        <v>6089</v>
      </c>
      <c r="AM145" s="72" t="s">
        <v>230</v>
      </c>
      <c r="AN145" s="72" t="s">
        <v>229</v>
      </c>
      <c r="AO145" s="138">
        <f t="shared" si="203"/>
        <v>121188.01788660896</v>
      </c>
      <c r="AP145" s="65">
        <f t="shared" si="204"/>
        <v>40396.005962202988</v>
      </c>
      <c r="AQ145" s="65">
        <f t="shared" si="205"/>
        <v>0</v>
      </c>
      <c r="AR145" s="65">
        <f t="shared" si="206"/>
        <v>9429.7275140630536</v>
      </c>
      <c r="AS145" s="65">
        <f t="shared" si="207"/>
        <v>0</v>
      </c>
      <c r="AT145" s="65">
        <f t="shared" si="208"/>
        <v>20198.002981101494</v>
      </c>
      <c r="AU145" s="65">
        <f t="shared" si="209"/>
        <v>4039.6005962202989</v>
      </c>
      <c r="AV145" s="65">
        <f t="shared" si="210"/>
        <v>26384.846351186487</v>
      </c>
      <c r="AW145" s="65">
        <f t="shared" si="211"/>
        <v>16205.279499109303</v>
      </c>
      <c r="AX145" s="65">
        <f t="shared" si="212"/>
        <v>9583.2522170959819</v>
      </c>
      <c r="AY145" s="65">
        <f t="shared" si="213"/>
        <v>0</v>
      </c>
      <c r="AZ145" s="65">
        <f t="shared" si="214"/>
        <v>5574.6488227840118</v>
      </c>
      <c r="BB145" s="64"/>
      <c r="BC145" s="66"/>
      <c r="BD145" s="66"/>
      <c r="BE145" s="66"/>
    </row>
    <row r="146" spans="1:177" ht="21" customHeight="1" x14ac:dyDescent="0.2">
      <c r="B146" s="51">
        <v>7</v>
      </c>
      <c r="C146" s="73" t="s">
        <v>42</v>
      </c>
      <c r="D146" s="67">
        <v>6090</v>
      </c>
      <c r="E146" s="72" t="s">
        <v>231</v>
      </c>
      <c r="F146" s="72" t="s">
        <v>229</v>
      </c>
      <c r="G146" s="55">
        <v>40126</v>
      </c>
      <c r="H146" s="56" t="str">
        <f t="shared" si="187"/>
        <v>15 AÑOS</v>
      </c>
      <c r="I146" s="57">
        <v>6473.7189041991969</v>
      </c>
      <c r="J146" s="58"/>
      <c r="K146" s="58"/>
      <c r="L146" s="59"/>
      <c r="M146" s="60">
        <v>4.0000000000000002E-4</v>
      </c>
      <c r="N146" s="61">
        <f t="shared" si="188"/>
        <v>258.94875616796787</v>
      </c>
      <c r="O146" s="58">
        <f t="shared" si="189"/>
        <v>6732.6676603671649</v>
      </c>
      <c r="P146" s="61">
        <f t="shared" si="190"/>
        <v>13465.33532073433</v>
      </c>
      <c r="Q146" s="61">
        <f t="shared" si="191"/>
        <v>10099.001490550747</v>
      </c>
      <c r="R146" s="61">
        <f t="shared" si="192"/>
        <v>3366.3338301835824</v>
      </c>
      <c r="S146" s="61">
        <f t="shared" si="193"/>
        <v>448.84451069114431</v>
      </c>
      <c r="T146" s="58">
        <f t="shared" si="194"/>
        <v>515.22861382236454</v>
      </c>
      <c r="U146" s="61">
        <f t="shared" si="195"/>
        <v>5049.5007452753734</v>
      </c>
      <c r="V146" s="58">
        <f t="shared" si="196"/>
        <v>1683.1669150917912</v>
      </c>
      <c r="W146" s="62">
        <v>0</v>
      </c>
      <c r="X146" s="63">
        <f t="shared" si="197"/>
        <v>0</v>
      </c>
      <c r="Y146" s="61">
        <v>785.81062617192117</v>
      </c>
      <c r="Z146" s="61">
        <v>0</v>
      </c>
      <c r="AA146" s="61">
        <f t="shared" si="198"/>
        <v>1683.1669150917912</v>
      </c>
      <c r="AB146" s="61">
        <f t="shared" si="199"/>
        <v>336.63338301835824</v>
      </c>
      <c r="AC146" s="61">
        <v>2198.7371959322072</v>
      </c>
      <c r="AD146" s="61">
        <v>1350.4399582591086</v>
      </c>
      <c r="AE146" s="61">
        <v>798.60435142466508</v>
      </c>
      <c r="AF146" s="61">
        <v>0</v>
      </c>
      <c r="AG146" s="61">
        <f t="shared" si="200"/>
        <v>464.55406856533432</v>
      </c>
      <c r="AH146" s="64"/>
      <c r="AI146" s="64"/>
      <c r="AJ146" s="51">
        <v>7</v>
      </c>
      <c r="AK146" s="73" t="s">
        <v>42</v>
      </c>
      <c r="AL146" s="67">
        <v>6090</v>
      </c>
      <c r="AM146" s="72" t="s">
        <v>231</v>
      </c>
      <c r="AN146" s="72" t="s">
        <v>229</v>
      </c>
      <c r="AO146" s="138">
        <f t="shared" si="203"/>
        <v>121188.01788660896</v>
      </c>
      <c r="AP146" s="65">
        <f t="shared" si="204"/>
        <v>40396.005962202988</v>
      </c>
      <c r="AQ146" s="65">
        <f t="shared" si="205"/>
        <v>0</v>
      </c>
      <c r="AR146" s="65">
        <f t="shared" si="206"/>
        <v>9429.7275140630536</v>
      </c>
      <c r="AS146" s="65">
        <f t="shared" si="207"/>
        <v>0</v>
      </c>
      <c r="AT146" s="65">
        <f t="shared" si="208"/>
        <v>20198.002981101494</v>
      </c>
      <c r="AU146" s="65">
        <f t="shared" si="209"/>
        <v>4039.6005962202989</v>
      </c>
      <c r="AV146" s="65">
        <f t="shared" si="210"/>
        <v>26384.846351186487</v>
      </c>
      <c r="AW146" s="65">
        <f t="shared" si="211"/>
        <v>16205.279499109303</v>
      </c>
      <c r="AX146" s="65">
        <f t="shared" si="212"/>
        <v>9583.2522170959819</v>
      </c>
      <c r="AY146" s="65">
        <f t="shared" si="213"/>
        <v>0</v>
      </c>
      <c r="AZ146" s="65">
        <f t="shared" si="214"/>
        <v>5574.6488227840118</v>
      </c>
      <c r="BB146" s="64"/>
      <c r="BC146" s="66"/>
      <c r="BD146" s="66"/>
      <c r="BE146" s="66"/>
    </row>
    <row r="147" spans="1:177" ht="21" customHeight="1" x14ac:dyDescent="0.2">
      <c r="B147" s="67">
        <v>8</v>
      </c>
      <c r="C147" s="73" t="s">
        <v>42</v>
      </c>
      <c r="D147" s="67">
        <v>6160</v>
      </c>
      <c r="E147" s="72" t="s">
        <v>232</v>
      </c>
      <c r="F147" s="72" t="s">
        <v>229</v>
      </c>
      <c r="G147" s="56">
        <v>44636</v>
      </c>
      <c r="H147" s="56" t="str">
        <f t="shared" si="187"/>
        <v>2 AÑOS</v>
      </c>
      <c r="I147" s="57">
        <v>6473.7189041991969</v>
      </c>
      <c r="J147" s="58"/>
      <c r="K147" s="58"/>
      <c r="L147" s="59"/>
      <c r="M147" s="60">
        <v>4.0000000000000002E-4</v>
      </c>
      <c r="N147" s="61">
        <f t="shared" si="188"/>
        <v>258.94875616796787</v>
      </c>
      <c r="O147" s="58">
        <f t="shared" si="189"/>
        <v>6732.6676603671649</v>
      </c>
      <c r="P147" s="61">
        <f t="shared" si="190"/>
        <v>13465.33532073433</v>
      </c>
      <c r="Q147" s="61">
        <f t="shared" si="191"/>
        <v>10099.001490550747</v>
      </c>
      <c r="R147" s="61">
        <f t="shared" si="192"/>
        <v>3366.3338301835824</v>
      </c>
      <c r="S147" s="61">
        <f t="shared" si="193"/>
        <v>448.84451069114431</v>
      </c>
      <c r="T147" s="58">
        <f t="shared" si="194"/>
        <v>515.22861382236454</v>
      </c>
      <c r="U147" s="61">
        <f t="shared" si="195"/>
        <v>5049.5007452753734</v>
      </c>
      <c r="V147" s="58">
        <f t="shared" si="196"/>
        <v>1683.1669150917912</v>
      </c>
      <c r="W147" s="62">
        <v>0</v>
      </c>
      <c r="X147" s="63">
        <f t="shared" si="197"/>
        <v>0</v>
      </c>
      <c r="Y147" s="61">
        <v>785.81062617192117</v>
      </c>
      <c r="Z147" s="61">
        <v>0</v>
      </c>
      <c r="AA147" s="61">
        <f t="shared" si="198"/>
        <v>1683.1669150917912</v>
      </c>
      <c r="AB147" s="61">
        <f t="shared" si="199"/>
        <v>336.63338301835824</v>
      </c>
      <c r="AC147" s="61">
        <v>2198.7371959322072</v>
      </c>
      <c r="AD147" s="61">
        <v>1350.4399582591086</v>
      </c>
      <c r="AE147" s="61">
        <v>798.60435142466508</v>
      </c>
      <c r="AF147" s="61">
        <v>0</v>
      </c>
      <c r="AG147" s="61">
        <f t="shared" si="200"/>
        <v>464.55406856533432</v>
      </c>
      <c r="AH147" s="64"/>
      <c r="AI147" s="64"/>
      <c r="AJ147" s="67">
        <v>8</v>
      </c>
      <c r="AK147" s="73" t="s">
        <v>42</v>
      </c>
      <c r="AL147" s="67">
        <v>6160</v>
      </c>
      <c r="AM147" s="72" t="s">
        <v>232</v>
      </c>
      <c r="AN147" s="72" t="s">
        <v>229</v>
      </c>
      <c r="AO147" s="138">
        <f t="shared" si="203"/>
        <v>121188.01788660896</v>
      </c>
      <c r="AP147" s="65">
        <f t="shared" si="204"/>
        <v>40396.005962202988</v>
      </c>
      <c r="AQ147" s="65">
        <f t="shared" si="205"/>
        <v>0</v>
      </c>
      <c r="AR147" s="65">
        <f t="shared" si="206"/>
        <v>9429.7275140630536</v>
      </c>
      <c r="AS147" s="65">
        <f t="shared" si="207"/>
        <v>0</v>
      </c>
      <c r="AT147" s="65">
        <f t="shared" si="208"/>
        <v>20198.002981101494</v>
      </c>
      <c r="AU147" s="65">
        <f t="shared" si="209"/>
        <v>4039.6005962202989</v>
      </c>
      <c r="AV147" s="65">
        <f t="shared" si="210"/>
        <v>26384.846351186487</v>
      </c>
      <c r="AW147" s="65">
        <f t="shared" si="211"/>
        <v>16205.279499109303</v>
      </c>
      <c r="AX147" s="65">
        <f t="shared" si="212"/>
        <v>9583.2522170959819</v>
      </c>
      <c r="AY147" s="65">
        <f t="shared" si="213"/>
        <v>0</v>
      </c>
      <c r="AZ147" s="65">
        <f t="shared" si="214"/>
        <v>5574.6488227840118</v>
      </c>
      <c r="BB147" s="64"/>
      <c r="BC147" s="66"/>
      <c r="BD147" s="66"/>
      <c r="BE147" s="66"/>
    </row>
    <row r="148" spans="1:177" ht="21" customHeight="1" x14ac:dyDescent="0.2">
      <c r="B148" s="51">
        <v>9</v>
      </c>
      <c r="C148" s="73" t="s">
        <v>42</v>
      </c>
      <c r="D148" s="67">
        <v>6135</v>
      </c>
      <c r="E148" s="72" t="s">
        <v>233</v>
      </c>
      <c r="F148" s="72" t="s">
        <v>229</v>
      </c>
      <c r="G148" s="169">
        <v>42705</v>
      </c>
      <c r="H148" s="56" t="str">
        <f t="shared" si="187"/>
        <v>8 AÑOS</v>
      </c>
      <c r="I148" s="57">
        <v>6473.7189041991969</v>
      </c>
      <c r="J148" s="58"/>
      <c r="K148" s="58"/>
      <c r="L148" s="59"/>
      <c r="M148" s="60">
        <v>4.0000000000000002E-4</v>
      </c>
      <c r="N148" s="61">
        <f t="shared" si="188"/>
        <v>258.94875616796787</v>
      </c>
      <c r="O148" s="58">
        <f t="shared" si="189"/>
        <v>6732.6676603671649</v>
      </c>
      <c r="P148" s="61">
        <f t="shared" si="190"/>
        <v>13465.33532073433</v>
      </c>
      <c r="Q148" s="61">
        <f t="shared" si="191"/>
        <v>10099.001490550747</v>
      </c>
      <c r="R148" s="61">
        <f t="shared" si="192"/>
        <v>3366.3338301835824</v>
      </c>
      <c r="S148" s="61">
        <f t="shared" si="193"/>
        <v>448.84451069114431</v>
      </c>
      <c r="T148" s="58">
        <f t="shared" si="194"/>
        <v>515.22861382236454</v>
      </c>
      <c r="U148" s="61">
        <f t="shared" si="195"/>
        <v>5049.5007452753734</v>
      </c>
      <c r="V148" s="58">
        <f t="shared" si="196"/>
        <v>1683.1669150917912</v>
      </c>
      <c r="W148" s="62">
        <v>0</v>
      </c>
      <c r="X148" s="63">
        <f t="shared" si="197"/>
        <v>0</v>
      </c>
      <c r="Y148" s="61">
        <v>785.81062617192117</v>
      </c>
      <c r="Z148" s="61">
        <v>0</v>
      </c>
      <c r="AA148" s="61">
        <f t="shared" si="198"/>
        <v>1683.1669150917912</v>
      </c>
      <c r="AB148" s="61">
        <f t="shared" si="199"/>
        <v>336.63338301835824</v>
      </c>
      <c r="AC148" s="61">
        <v>2198.7371959322072</v>
      </c>
      <c r="AD148" s="61">
        <v>1350.4399582591086</v>
      </c>
      <c r="AE148" s="61">
        <v>798.60435142466508</v>
      </c>
      <c r="AF148" s="61">
        <v>0</v>
      </c>
      <c r="AG148" s="61">
        <f t="shared" si="200"/>
        <v>464.55406856533432</v>
      </c>
      <c r="AH148" s="64"/>
      <c r="AI148" s="64"/>
      <c r="AJ148" s="51">
        <v>9</v>
      </c>
      <c r="AK148" s="73" t="s">
        <v>42</v>
      </c>
      <c r="AL148" s="67">
        <v>6135</v>
      </c>
      <c r="AM148" s="72" t="s">
        <v>233</v>
      </c>
      <c r="AN148" s="72" t="s">
        <v>229</v>
      </c>
      <c r="AO148" s="138">
        <f t="shared" si="203"/>
        <v>121188.01788660896</v>
      </c>
      <c r="AP148" s="65">
        <f t="shared" si="204"/>
        <v>40396.005962202988</v>
      </c>
      <c r="AQ148" s="65">
        <f t="shared" si="205"/>
        <v>0</v>
      </c>
      <c r="AR148" s="65">
        <f t="shared" si="206"/>
        <v>9429.7275140630536</v>
      </c>
      <c r="AS148" s="65">
        <f t="shared" si="207"/>
        <v>0</v>
      </c>
      <c r="AT148" s="65">
        <f t="shared" si="208"/>
        <v>20198.002981101494</v>
      </c>
      <c r="AU148" s="65">
        <f t="shared" si="209"/>
        <v>4039.6005962202989</v>
      </c>
      <c r="AV148" s="65">
        <f t="shared" si="210"/>
        <v>26384.846351186487</v>
      </c>
      <c r="AW148" s="65">
        <f t="shared" si="211"/>
        <v>16205.279499109303</v>
      </c>
      <c r="AX148" s="65">
        <f t="shared" si="212"/>
        <v>9583.2522170959819</v>
      </c>
      <c r="AY148" s="65">
        <f t="shared" si="213"/>
        <v>0</v>
      </c>
      <c r="AZ148" s="65">
        <f t="shared" si="214"/>
        <v>5574.6488227840118</v>
      </c>
      <c r="BB148" s="64"/>
      <c r="BC148" s="66"/>
      <c r="BD148" s="66"/>
      <c r="BE148" s="66"/>
    </row>
    <row r="149" spans="1:177" ht="21" customHeight="1" x14ac:dyDescent="0.2">
      <c r="B149" s="67">
        <v>10</v>
      </c>
      <c r="C149" s="73" t="s">
        <v>42</v>
      </c>
      <c r="D149" s="67">
        <v>6148</v>
      </c>
      <c r="E149" s="72" t="s">
        <v>234</v>
      </c>
      <c r="F149" s="72" t="s">
        <v>229</v>
      </c>
      <c r="G149" s="157">
        <v>43481</v>
      </c>
      <c r="H149" s="56" t="str">
        <f t="shared" si="187"/>
        <v>5 AÑOS</v>
      </c>
      <c r="I149" s="57">
        <v>6473.7189041991969</v>
      </c>
      <c r="J149" s="58"/>
      <c r="K149" s="58"/>
      <c r="L149" s="59"/>
      <c r="M149" s="60">
        <v>4.0000000000000002E-4</v>
      </c>
      <c r="N149" s="61">
        <f t="shared" si="188"/>
        <v>258.94875616796787</v>
      </c>
      <c r="O149" s="58">
        <f t="shared" si="189"/>
        <v>6732.6676603671649</v>
      </c>
      <c r="P149" s="61">
        <f t="shared" si="190"/>
        <v>13465.33532073433</v>
      </c>
      <c r="Q149" s="61">
        <f t="shared" si="191"/>
        <v>10099.001490550747</v>
      </c>
      <c r="R149" s="61">
        <f t="shared" si="192"/>
        <v>3366.3338301835824</v>
      </c>
      <c r="S149" s="61">
        <f t="shared" si="193"/>
        <v>448.84451069114431</v>
      </c>
      <c r="T149" s="58">
        <f t="shared" si="194"/>
        <v>515.22861382236454</v>
      </c>
      <c r="U149" s="61">
        <f t="shared" si="195"/>
        <v>5049.5007452753734</v>
      </c>
      <c r="V149" s="58">
        <f t="shared" si="196"/>
        <v>1683.1669150917912</v>
      </c>
      <c r="W149" s="62">
        <v>0</v>
      </c>
      <c r="X149" s="63">
        <f t="shared" si="197"/>
        <v>0</v>
      </c>
      <c r="Y149" s="61">
        <v>785.81062617192117</v>
      </c>
      <c r="Z149" s="61">
        <v>0</v>
      </c>
      <c r="AA149" s="61">
        <f t="shared" si="198"/>
        <v>1683.1669150917912</v>
      </c>
      <c r="AB149" s="61">
        <f t="shared" si="199"/>
        <v>336.63338301835824</v>
      </c>
      <c r="AC149" s="61">
        <v>2198.7371959322072</v>
      </c>
      <c r="AD149" s="61">
        <v>1350.4399582591086</v>
      </c>
      <c r="AE149" s="61">
        <v>798.60435142466508</v>
      </c>
      <c r="AF149" s="61">
        <v>0</v>
      </c>
      <c r="AG149" s="61">
        <f t="shared" si="200"/>
        <v>464.55406856533432</v>
      </c>
      <c r="AH149" s="64"/>
      <c r="AI149" s="64"/>
      <c r="AJ149" s="67">
        <v>10</v>
      </c>
      <c r="AK149" s="73" t="s">
        <v>42</v>
      </c>
      <c r="AL149" s="67">
        <v>6148</v>
      </c>
      <c r="AM149" s="72" t="s">
        <v>234</v>
      </c>
      <c r="AN149" s="72" t="s">
        <v>229</v>
      </c>
      <c r="AO149" s="138">
        <f t="shared" si="203"/>
        <v>121188.01788660896</v>
      </c>
      <c r="AP149" s="65">
        <f t="shared" si="204"/>
        <v>40396.005962202988</v>
      </c>
      <c r="AQ149" s="65">
        <f t="shared" si="205"/>
        <v>0</v>
      </c>
      <c r="AR149" s="65">
        <f t="shared" si="206"/>
        <v>9429.7275140630536</v>
      </c>
      <c r="AS149" s="65">
        <f t="shared" si="207"/>
        <v>0</v>
      </c>
      <c r="AT149" s="65">
        <f t="shared" si="208"/>
        <v>20198.002981101494</v>
      </c>
      <c r="AU149" s="65">
        <f t="shared" si="209"/>
        <v>4039.6005962202989</v>
      </c>
      <c r="AV149" s="65">
        <f t="shared" si="210"/>
        <v>26384.846351186487</v>
      </c>
      <c r="AW149" s="65">
        <f t="shared" si="211"/>
        <v>16205.279499109303</v>
      </c>
      <c r="AX149" s="65">
        <f t="shared" si="212"/>
        <v>9583.2522170959819</v>
      </c>
      <c r="AY149" s="65">
        <f t="shared" si="213"/>
        <v>0</v>
      </c>
      <c r="AZ149" s="65">
        <f t="shared" si="214"/>
        <v>5574.6488227840118</v>
      </c>
      <c r="BB149" s="64"/>
      <c r="BC149" s="66"/>
      <c r="BD149" s="66"/>
      <c r="BE149" s="66"/>
    </row>
    <row r="150" spans="1:177" ht="21" customHeight="1" x14ac:dyDescent="0.2">
      <c r="B150" s="51">
        <v>11</v>
      </c>
      <c r="C150" s="73" t="s">
        <v>42</v>
      </c>
      <c r="D150" s="67">
        <v>5098</v>
      </c>
      <c r="E150" s="73" t="s">
        <v>235</v>
      </c>
      <c r="F150" s="72" t="s">
        <v>229</v>
      </c>
      <c r="G150" s="169">
        <v>45474</v>
      </c>
      <c r="H150" s="56" t="str">
        <f xml:space="preserve"> CONCATENATE(DATEDIF(G156,H$5,"Y")," AÑOS")</f>
        <v>6 AÑOS</v>
      </c>
      <c r="I150" s="57">
        <v>6473.7189041991969</v>
      </c>
      <c r="J150" s="58"/>
      <c r="K150" s="58"/>
      <c r="L150" s="59"/>
      <c r="M150" s="60">
        <v>4.0000000000000002E-4</v>
      </c>
      <c r="N150" s="61">
        <f t="shared" si="188"/>
        <v>258.94875616796787</v>
      </c>
      <c r="O150" s="58">
        <f t="shared" si="189"/>
        <v>6732.6676603671649</v>
      </c>
      <c r="P150" s="61">
        <f t="shared" si="190"/>
        <v>13465.33532073433</v>
      </c>
      <c r="Q150" s="61">
        <f t="shared" si="191"/>
        <v>10099.001490550747</v>
      </c>
      <c r="R150" s="61">
        <f t="shared" si="192"/>
        <v>3366.3338301835824</v>
      </c>
      <c r="S150" s="61">
        <f t="shared" si="193"/>
        <v>448.84451069114431</v>
      </c>
      <c r="T150" s="58">
        <f t="shared" si="194"/>
        <v>515.22861382236454</v>
      </c>
      <c r="U150" s="61">
        <f t="shared" si="195"/>
        <v>5049.5007452753734</v>
      </c>
      <c r="V150" s="58">
        <f t="shared" si="196"/>
        <v>1683.1669150917912</v>
      </c>
      <c r="W150" s="62">
        <v>0</v>
      </c>
      <c r="X150" s="63">
        <f t="shared" si="197"/>
        <v>0</v>
      </c>
      <c r="Y150" s="61">
        <v>785.81062617192117</v>
      </c>
      <c r="Z150" s="61">
        <v>0</v>
      </c>
      <c r="AA150" s="61">
        <f t="shared" si="198"/>
        <v>1683.1669150917912</v>
      </c>
      <c r="AB150" s="61">
        <f t="shared" si="199"/>
        <v>336.63338301835824</v>
      </c>
      <c r="AC150" s="61">
        <v>2198.7371959322072</v>
      </c>
      <c r="AD150" s="61">
        <v>1350.4399582591086</v>
      </c>
      <c r="AE150" s="61">
        <v>798.60435142466508</v>
      </c>
      <c r="AF150" s="61">
        <v>0</v>
      </c>
      <c r="AG150" s="61">
        <f t="shared" si="200"/>
        <v>464.55406856533432</v>
      </c>
      <c r="AH150" s="64"/>
      <c r="AI150" s="64"/>
      <c r="AJ150" s="51">
        <v>11</v>
      </c>
      <c r="AK150" s="73" t="s">
        <v>42</v>
      </c>
      <c r="AL150" s="67">
        <v>5098</v>
      </c>
      <c r="AM150" s="73" t="s">
        <v>235</v>
      </c>
      <c r="AN150" s="72" t="s">
        <v>229</v>
      </c>
      <c r="AO150" s="138">
        <f t="shared" si="203"/>
        <v>121188.01788660896</v>
      </c>
      <c r="AP150" s="65">
        <f t="shared" si="204"/>
        <v>40396.005962202988</v>
      </c>
      <c r="AQ150" s="65">
        <f t="shared" si="205"/>
        <v>0</v>
      </c>
      <c r="AR150" s="65">
        <f t="shared" si="206"/>
        <v>9429.7275140630536</v>
      </c>
      <c r="AS150" s="65">
        <f t="shared" si="207"/>
        <v>0</v>
      </c>
      <c r="AT150" s="65">
        <f t="shared" si="208"/>
        <v>20198.002981101494</v>
      </c>
      <c r="AU150" s="65">
        <f t="shared" si="209"/>
        <v>4039.6005962202989</v>
      </c>
      <c r="AV150" s="65">
        <f t="shared" si="210"/>
        <v>26384.846351186487</v>
      </c>
      <c r="AW150" s="65">
        <f t="shared" si="211"/>
        <v>16205.279499109303</v>
      </c>
      <c r="AX150" s="65">
        <f t="shared" si="212"/>
        <v>9583.2522170959819</v>
      </c>
      <c r="AY150" s="65">
        <f t="shared" si="213"/>
        <v>0</v>
      </c>
      <c r="AZ150" s="65">
        <f t="shared" si="214"/>
        <v>5574.6488227840118</v>
      </c>
      <c r="BB150" s="64"/>
      <c r="BC150" s="66"/>
      <c r="BD150" s="66"/>
      <c r="BE150" s="66"/>
    </row>
    <row r="151" spans="1:177" ht="21" customHeight="1" x14ac:dyDescent="0.2">
      <c r="B151" s="67">
        <v>12</v>
      </c>
      <c r="C151" s="73" t="s">
        <v>42</v>
      </c>
      <c r="D151" s="67">
        <v>6007</v>
      </c>
      <c r="E151" s="72" t="s">
        <v>236</v>
      </c>
      <c r="F151" s="72" t="s">
        <v>237</v>
      </c>
      <c r="G151" s="55">
        <v>36176</v>
      </c>
      <c r="H151" s="56" t="str">
        <f t="shared" ref="H151:H156" si="215" xml:space="preserve"> CONCATENATE(DATEDIF(G151,H$5,"Y")," AÑOS")</f>
        <v>25 AÑOS</v>
      </c>
      <c r="I151" s="57">
        <v>9449.7079971839994</v>
      </c>
      <c r="J151" s="58">
        <v>11451.38</v>
      </c>
      <c r="K151" s="188">
        <f>J151-I151</f>
        <v>2001.6720028159998</v>
      </c>
      <c r="L151" s="173">
        <f>K151*100/I151</f>
        <v>21.182368845815081</v>
      </c>
      <c r="M151" s="60">
        <v>2.1180000000000001E-3</v>
      </c>
      <c r="N151" s="61">
        <f>I151*0.2118</f>
        <v>2001.4481538035709</v>
      </c>
      <c r="O151" s="58">
        <f t="shared" si="189"/>
        <v>11451.15615098757</v>
      </c>
      <c r="P151" s="61">
        <f t="shared" si="190"/>
        <v>22902.31230197514</v>
      </c>
      <c r="Q151" s="61">
        <f t="shared" si="191"/>
        <v>17176.734226481356</v>
      </c>
      <c r="R151" s="61">
        <f t="shared" si="192"/>
        <v>5725.578075493785</v>
      </c>
      <c r="S151" s="61">
        <f t="shared" si="193"/>
        <v>763.41041006583805</v>
      </c>
      <c r="T151" s="58">
        <f t="shared" si="194"/>
        <v>876.31880971457542</v>
      </c>
      <c r="U151" s="61">
        <f t="shared" si="195"/>
        <v>8588.367113240678</v>
      </c>
      <c r="V151" s="58">
        <f t="shared" si="196"/>
        <v>2862.7890377468925</v>
      </c>
      <c r="W151" s="62">
        <v>0</v>
      </c>
      <c r="X151" s="63">
        <f t="shared" si="197"/>
        <v>0</v>
      </c>
      <c r="Y151" s="61">
        <v>1521.3856660287813</v>
      </c>
      <c r="Z151" s="61">
        <v>0</v>
      </c>
      <c r="AA151" s="61">
        <f t="shared" si="198"/>
        <v>2862.7890377468925</v>
      </c>
      <c r="AB151" s="61">
        <f t="shared" si="199"/>
        <v>572.55780754937848</v>
      </c>
      <c r="AC151" s="61">
        <v>3355.406095889507</v>
      </c>
      <c r="AD151" s="61">
        <v>2296.9207234794799</v>
      </c>
      <c r="AE151" s="61">
        <v>1358.3209482433354</v>
      </c>
      <c r="AF151" s="61">
        <v>0</v>
      </c>
      <c r="AG151" s="61">
        <f t="shared" si="200"/>
        <v>790.12977441814235</v>
      </c>
      <c r="AH151" s="64"/>
      <c r="AI151" s="64"/>
      <c r="AJ151" s="67">
        <v>12</v>
      </c>
      <c r="AK151" s="73" t="s">
        <v>42</v>
      </c>
      <c r="AL151" s="67">
        <v>6007</v>
      </c>
      <c r="AM151" s="72" t="s">
        <v>236</v>
      </c>
      <c r="AN151" s="72" t="s">
        <v>237</v>
      </c>
      <c r="AO151" s="138">
        <f>Q151*10</f>
        <v>171767.34226481355</v>
      </c>
      <c r="AP151" s="65">
        <f>R151*10</f>
        <v>57255.780754937849</v>
      </c>
      <c r="AQ151" s="65">
        <f t="shared" ref="AQ151:AZ151" si="216">X151*10</f>
        <v>0</v>
      </c>
      <c r="AR151" s="65">
        <f t="shared" si="216"/>
        <v>15213.856660287813</v>
      </c>
      <c r="AS151" s="65">
        <f t="shared" si="216"/>
        <v>0</v>
      </c>
      <c r="AT151" s="65">
        <f t="shared" si="216"/>
        <v>28627.890377468924</v>
      </c>
      <c r="AU151" s="65">
        <f t="shared" si="216"/>
        <v>5725.578075493785</v>
      </c>
      <c r="AV151" s="65">
        <f t="shared" si="216"/>
        <v>33554.060958895068</v>
      </c>
      <c r="AW151" s="65">
        <f t="shared" si="216"/>
        <v>22969.207234794798</v>
      </c>
      <c r="AX151" s="65">
        <f t="shared" si="216"/>
        <v>13583.209482433354</v>
      </c>
      <c r="AY151" s="65">
        <f t="shared" si="216"/>
        <v>0</v>
      </c>
      <c r="AZ151" s="65">
        <f t="shared" si="216"/>
        <v>7901.2977441814237</v>
      </c>
      <c r="BB151" s="64"/>
      <c r="BC151" s="66"/>
      <c r="BD151" s="66"/>
      <c r="BE151" s="66"/>
    </row>
    <row r="152" spans="1:177" ht="21" customHeight="1" x14ac:dyDescent="0.2">
      <c r="B152" s="51">
        <v>13</v>
      </c>
      <c r="C152" s="73" t="s">
        <v>42</v>
      </c>
      <c r="D152" s="67">
        <v>6099</v>
      </c>
      <c r="E152" s="72" t="s">
        <v>238</v>
      </c>
      <c r="F152" s="72" t="s">
        <v>239</v>
      </c>
      <c r="G152" s="189">
        <v>40194</v>
      </c>
      <c r="H152" s="56" t="str">
        <f t="shared" si="215"/>
        <v>14 AÑOS</v>
      </c>
      <c r="I152" s="57">
        <v>11010.944261605577</v>
      </c>
      <c r="J152" s="58"/>
      <c r="K152" s="58"/>
      <c r="L152" s="59"/>
      <c r="M152" s="60">
        <v>4.0000000000000002E-4</v>
      </c>
      <c r="N152" s="61">
        <f>I152*0.04</f>
        <v>440.43777046422309</v>
      </c>
      <c r="O152" s="58">
        <f t="shared" si="189"/>
        <v>11451.3820320698</v>
      </c>
      <c r="P152" s="61">
        <f t="shared" si="190"/>
        <v>22902.764064139599</v>
      </c>
      <c r="Q152" s="61">
        <f t="shared" si="191"/>
        <v>17177.073048104699</v>
      </c>
      <c r="R152" s="61">
        <f t="shared" si="192"/>
        <v>5725.6910160348998</v>
      </c>
      <c r="S152" s="61">
        <f t="shared" si="193"/>
        <v>763.42546880465329</v>
      </c>
      <c r="T152" s="58">
        <f t="shared" si="194"/>
        <v>876.33609564086146</v>
      </c>
      <c r="U152" s="61">
        <f t="shared" si="195"/>
        <v>8588.5365240523497</v>
      </c>
      <c r="V152" s="58">
        <f t="shared" si="196"/>
        <v>2862.8455080174499</v>
      </c>
      <c r="W152" s="62">
        <v>0</v>
      </c>
      <c r="X152" s="63">
        <f t="shared" si="197"/>
        <v>0</v>
      </c>
      <c r="Y152" s="61">
        <v>2022.8988510751637</v>
      </c>
      <c r="Z152" s="61">
        <v>0</v>
      </c>
      <c r="AA152" s="61">
        <f t="shared" si="198"/>
        <v>2862.8455080174499</v>
      </c>
      <c r="AB152" s="61">
        <f t="shared" si="199"/>
        <v>572.56910160348991</v>
      </c>
      <c r="AC152" s="61">
        <v>3355.406095889507</v>
      </c>
      <c r="AD152" s="61">
        <v>2296.9207234794799</v>
      </c>
      <c r="AE152" s="61">
        <v>1358.3209482433354</v>
      </c>
      <c r="AF152" s="61">
        <v>0</v>
      </c>
      <c r="AG152" s="61">
        <f t="shared" si="200"/>
        <v>790.14536021281617</v>
      </c>
      <c r="AH152" s="64"/>
      <c r="AI152" s="64"/>
      <c r="AJ152" s="51">
        <v>13</v>
      </c>
      <c r="AK152" s="73" t="s">
        <v>42</v>
      </c>
      <c r="AL152" s="67">
        <v>6099</v>
      </c>
      <c r="AM152" s="72" t="s">
        <v>238</v>
      </c>
      <c r="AN152" s="72" t="s">
        <v>239</v>
      </c>
      <c r="AO152" s="159">
        <f t="shared" ref="AO152:AP156" si="217">Q152*12</f>
        <v>206124.87657725639</v>
      </c>
      <c r="AP152" s="159">
        <f t="shared" si="217"/>
        <v>68708.292192418798</v>
      </c>
      <c r="AQ152" s="65">
        <f t="shared" ref="AQ152:AZ156" si="218">X152*12</f>
        <v>0</v>
      </c>
      <c r="AR152" s="65">
        <f t="shared" si="218"/>
        <v>24274.786212901963</v>
      </c>
      <c r="AS152" s="65">
        <f t="shared" si="218"/>
        <v>0</v>
      </c>
      <c r="AT152" s="65">
        <f t="shared" si="218"/>
        <v>34354.146096209399</v>
      </c>
      <c r="AU152" s="65">
        <f t="shared" si="218"/>
        <v>6870.8292192418794</v>
      </c>
      <c r="AV152" s="65">
        <f t="shared" si="218"/>
        <v>40264.873150674088</v>
      </c>
      <c r="AW152" s="65">
        <f t="shared" si="218"/>
        <v>27563.04868175376</v>
      </c>
      <c r="AX152" s="65">
        <f t="shared" si="218"/>
        <v>16299.851378920024</v>
      </c>
      <c r="AY152" s="65">
        <f t="shared" si="218"/>
        <v>0</v>
      </c>
      <c r="AZ152" s="65">
        <f t="shared" si="218"/>
        <v>9481.7443225537936</v>
      </c>
      <c r="BB152" s="64"/>
      <c r="BC152" s="66"/>
      <c r="BD152" s="66"/>
      <c r="BE152" s="66"/>
    </row>
    <row r="153" spans="1:177" ht="21" customHeight="1" x14ac:dyDescent="0.2">
      <c r="B153" s="67">
        <v>14</v>
      </c>
      <c r="C153" s="73" t="s">
        <v>42</v>
      </c>
      <c r="D153" s="67">
        <v>6058</v>
      </c>
      <c r="E153" s="72" t="s">
        <v>240</v>
      </c>
      <c r="F153" s="72" t="s">
        <v>241</v>
      </c>
      <c r="G153" s="55">
        <v>38002</v>
      </c>
      <c r="H153" s="56" t="str">
        <f t="shared" si="215"/>
        <v>20 AÑOS</v>
      </c>
      <c r="I153" s="57">
        <v>11010.944261605577</v>
      </c>
      <c r="J153" s="58"/>
      <c r="K153" s="58"/>
      <c r="L153" s="59"/>
      <c r="M153" s="60">
        <v>4.0000000000000002E-4</v>
      </c>
      <c r="N153" s="61">
        <f>I153*0.04</f>
        <v>440.43777046422309</v>
      </c>
      <c r="O153" s="58">
        <f t="shared" si="189"/>
        <v>11451.3820320698</v>
      </c>
      <c r="P153" s="61">
        <f t="shared" si="190"/>
        <v>22902.764064139599</v>
      </c>
      <c r="Q153" s="61">
        <f t="shared" si="191"/>
        <v>17177.073048104699</v>
      </c>
      <c r="R153" s="61">
        <f t="shared" si="192"/>
        <v>5725.6910160348998</v>
      </c>
      <c r="S153" s="61">
        <f t="shared" si="193"/>
        <v>763.42546880465329</v>
      </c>
      <c r="T153" s="58">
        <f t="shared" si="194"/>
        <v>876.33609564086146</v>
      </c>
      <c r="U153" s="61">
        <f t="shared" si="195"/>
        <v>8588.5365240523497</v>
      </c>
      <c r="V153" s="58">
        <f t="shared" si="196"/>
        <v>2862.8455080174499</v>
      </c>
      <c r="W153" s="62">
        <v>0</v>
      </c>
      <c r="X153" s="63">
        <f t="shared" si="197"/>
        <v>0</v>
      </c>
      <c r="Y153" s="61">
        <v>2022.8988510751637</v>
      </c>
      <c r="Z153" s="61">
        <v>0</v>
      </c>
      <c r="AA153" s="61">
        <f t="shared" si="198"/>
        <v>2862.8455080174499</v>
      </c>
      <c r="AB153" s="61">
        <f t="shared" si="199"/>
        <v>572.56910160348991</v>
      </c>
      <c r="AC153" s="61">
        <v>3355.406095889507</v>
      </c>
      <c r="AD153" s="61">
        <v>2296.9207234794799</v>
      </c>
      <c r="AE153" s="61">
        <v>1358.3209482433354</v>
      </c>
      <c r="AF153" s="61">
        <v>0</v>
      </c>
      <c r="AG153" s="61">
        <f t="shared" si="200"/>
        <v>790.14536021281617</v>
      </c>
      <c r="AH153" s="64"/>
      <c r="AI153" s="64"/>
      <c r="AJ153" s="67">
        <v>14</v>
      </c>
      <c r="AK153" s="73" t="s">
        <v>42</v>
      </c>
      <c r="AL153" s="67">
        <v>6058</v>
      </c>
      <c r="AM153" s="72" t="s">
        <v>240</v>
      </c>
      <c r="AN153" s="72" t="s">
        <v>241</v>
      </c>
      <c r="AO153" s="159">
        <f t="shared" si="217"/>
        <v>206124.87657725639</v>
      </c>
      <c r="AP153" s="159">
        <f t="shared" si="217"/>
        <v>68708.292192418798</v>
      </c>
      <c r="AQ153" s="65">
        <f t="shared" si="218"/>
        <v>0</v>
      </c>
      <c r="AR153" s="65">
        <f t="shared" si="218"/>
        <v>24274.786212901963</v>
      </c>
      <c r="AS153" s="65">
        <f t="shared" si="218"/>
        <v>0</v>
      </c>
      <c r="AT153" s="65">
        <f t="shared" si="218"/>
        <v>34354.146096209399</v>
      </c>
      <c r="AU153" s="65">
        <f t="shared" si="218"/>
        <v>6870.8292192418794</v>
      </c>
      <c r="AV153" s="65">
        <f t="shared" si="218"/>
        <v>40264.873150674088</v>
      </c>
      <c r="AW153" s="65">
        <f t="shared" si="218"/>
        <v>27563.04868175376</v>
      </c>
      <c r="AX153" s="65">
        <f t="shared" si="218"/>
        <v>16299.851378920024</v>
      </c>
      <c r="AY153" s="65">
        <f t="shared" si="218"/>
        <v>0</v>
      </c>
      <c r="AZ153" s="65">
        <f t="shared" si="218"/>
        <v>9481.7443225537936</v>
      </c>
      <c r="BB153" s="64"/>
      <c r="BC153" s="66"/>
      <c r="BD153" s="66"/>
      <c r="BE153" s="66"/>
    </row>
    <row r="154" spans="1:177" ht="21" customHeight="1" x14ac:dyDescent="0.2">
      <c r="B154" s="51">
        <v>15</v>
      </c>
      <c r="C154" s="73" t="s">
        <v>42</v>
      </c>
      <c r="D154" s="67">
        <v>6167</v>
      </c>
      <c r="E154" s="73" t="s">
        <v>242</v>
      </c>
      <c r="F154" s="176" t="s">
        <v>243</v>
      </c>
      <c r="G154" s="169">
        <v>45251</v>
      </c>
      <c r="H154" s="55" t="str">
        <f t="shared" si="215"/>
        <v>1 AÑOS</v>
      </c>
      <c r="I154" s="57">
        <v>11010.944261605577</v>
      </c>
      <c r="J154" s="57"/>
      <c r="K154" s="57"/>
      <c r="L154" s="137"/>
      <c r="M154" s="60">
        <v>4.0000000000000002E-4</v>
      </c>
      <c r="N154" s="61">
        <f>I154*0.04</f>
        <v>440.43777046422309</v>
      </c>
      <c r="O154" s="58">
        <f t="shared" si="189"/>
        <v>11451.3820320698</v>
      </c>
      <c r="P154" s="61">
        <f t="shared" si="190"/>
        <v>22902.764064139599</v>
      </c>
      <c r="Q154" s="61">
        <f t="shared" si="191"/>
        <v>17177.073048104699</v>
      </c>
      <c r="R154" s="61">
        <f t="shared" si="192"/>
        <v>5725.6910160348998</v>
      </c>
      <c r="S154" s="61">
        <f t="shared" si="193"/>
        <v>763.42546880465329</v>
      </c>
      <c r="T154" s="58">
        <f t="shared" si="194"/>
        <v>876.33609564086146</v>
      </c>
      <c r="U154" s="61">
        <f t="shared" si="195"/>
        <v>8588.5365240523497</v>
      </c>
      <c r="V154" s="58">
        <f t="shared" si="196"/>
        <v>2862.8455080174499</v>
      </c>
      <c r="W154" s="62">
        <v>0</v>
      </c>
      <c r="X154" s="63">
        <f t="shared" si="197"/>
        <v>0</v>
      </c>
      <c r="Y154" s="61">
        <v>2022.8988510751637</v>
      </c>
      <c r="Z154" s="61">
        <v>0</v>
      </c>
      <c r="AA154" s="61">
        <f t="shared" si="198"/>
        <v>2862.8455080174499</v>
      </c>
      <c r="AB154" s="61">
        <f t="shared" si="199"/>
        <v>572.56910160348991</v>
      </c>
      <c r="AC154" s="61">
        <v>3355.406095889507</v>
      </c>
      <c r="AD154" s="61">
        <v>2296.9207234794799</v>
      </c>
      <c r="AE154" s="61">
        <v>1358.3209482433354</v>
      </c>
      <c r="AF154" s="61">
        <v>0</v>
      </c>
      <c r="AG154" s="61">
        <f t="shared" si="200"/>
        <v>790.14536021281617</v>
      </c>
      <c r="AH154" s="64"/>
      <c r="AI154" s="64"/>
      <c r="AJ154" s="51">
        <v>15</v>
      </c>
      <c r="AK154" s="73" t="s">
        <v>42</v>
      </c>
      <c r="AL154" s="67">
        <v>6167</v>
      </c>
      <c r="AM154" s="73" t="s">
        <v>242</v>
      </c>
      <c r="AN154" s="176" t="s">
        <v>243</v>
      </c>
      <c r="AO154" s="159">
        <f t="shared" si="217"/>
        <v>206124.87657725639</v>
      </c>
      <c r="AP154" s="159">
        <f t="shared" si="217"/>
        <v>68708.292192418798</v>
      </c>
      <c r="AQ154" s="65">
        <f t="shared" si="218"/>
        <v>0</v>
      </c>
      <c r="AR154" s="65">
        <f t="shared" si="218"/>
        <v>24274.786212901963</v>
      </c>
      <c r="AS154" s="65">
        <f t="shared" si="218"/>
        <v>0</v>
      </c>
      <c r="AT154" s="65">
        <f t="shared" si="218"/>
        <v>34354.146096209399</v>
      </c>
      <c r="AU154" s="65">
        <f t="shared" si="218"/>
        <v>6870.8292192418794</v>
      </c>
      <c r="AV154" s="65">
        <f t="shared" si="218"/>
        <v>40264.873150674088</v>
      </c>
      <c r="AW154" s="65">
        <f t="shared" si="218"/>
        <v>27563.04868175376</v>
      </c>
      <c r="AX154" s="65">
        <f t="shared" si="218"/>
        <v>16299.851378920024</v>
      </c>
      <c r="AY154" s="65">
        <f t="shared" si="218"/>
        <v>0</v>
      </c>
      <c r="AZ154" s="65">
        <f t="shared" si="218"/>
        <v>9481.7443225537936</v>
      </c>
      <c r="BB154" s="64"/>
      <c r="BC154" s="66"/>
      <c r="BD154" s="66"/>
      <c r="BE154" s="66"/>
    </row>
    <row r="155" spans="1:177" s="102" customFormat="1" ht="21" customHeight="1" x14ac:dyDescent="0.2">
      <c r="A155" s="50"/>
      <c r="B155" s="67">
        <v>16</v>
      </c>
      <c r="C155" s="77" t="s">
        <v>42</v>
      </c>
      <c r="D155" s="51">
        <v>11174</v>
      </c>
      <c r="E155" s="72" t="s">
        <v>244</v>
      </c>
      <c r="F155" s="190" t="s">
        <v>245</v>
      </c>
      <c r="G155" s="55">
        <v>43556</v>
      </c>
      <c r="H155" s="55" t="str">
        <f t="shared" si="215"/>
        <v>5 AÑOS</v>
      </c>
      <c r="I155" s="57">
        <v>11011.16560897055</v>
      </c>
      <c r="J155" s="57"/>
      <c r="K155" s="57"/>
      <c r="L155" s="74"/>
      <c r="M155" s="60">
        <v>4.0000000000000002E-4</v>
      </c>
      <c r="N155" s="61">
        <f>I155*0.04</f>
        <v>440.44662435882202</v>
      </c>
      <c r="O155" s="58">
        <f t="shared" si="189"/>
        <v>11451.612233329372</v>
      </c>
      <c r="P155" s="61">
        <f t="shared" si="190"/>
        <v>22903.224466658743</v>
      </c>
      <c r="Q155" s="61">
        <f t="shared" si="191"/>
        <v>17177.418349994055</v>
      </c>
      <c r="R155" s="61">
        <f t="shared" si="192"/>
        <v>5725.8061166646858</v>
      </c>
      <c r="S155" s="61">
        <f t="shared" si="193"/>
        <v>763.44081555529146</v>
      </c>
      <c r="T155" s="58">
        <f t="shared" si="194"/>
        <v>876.35371217591899</v>
      </c>
      <c r="U155" s="61">
        <f t="shared" si="195"/>
        <v>8588.7091749970277</v>
      </c>
      <c r="V155" s="58">
        <f t="shared" si="196"/>
        <v>2862.9030583323429</v>
      </c>
      <c r="W155" s="62">
        <v>0</v>
      </c>
      <c r="X155" s="63">
        <f t="shared" si="197"/>
        <v>0</v>
      </c>
      <c r="Y155" s="61">
        <v>2022.9726075587303</v>
      </c>
      <c r="Z155" s="61">
        <v>0</v>
      </c>
      <c r="AA155" s="61">
        <f t="shared" si="198"/>
        <v>2862.9030583323433</v>
      </c>
      <c r="AB155" s="61">
        <f t="shared" si="199"/>
        <v>572.5806116664686</v>
      </c>
      <c r="AC155" s="61">
        <v>3355.4625236824827</v>
      </c>
      <c r="AD155" s="61">
        <v>2296.9668972986924</v>
      </c>
      <c r="AE155" s="61">
        <v>1358.3482538726746</v>
      </c>
      <c r="AF155" s="61">
        <v>0</v>
      </c>
      <c r="AG155" s="61">
        <f t="shared" si="200"/>
        <v>790.16124409972667</v>
      </c>
      <c r="AH155" s="64"/>
      <c r="AI155" s="64"/>
      <c r="AJ155" s="67">
        <v>16</v>
      </c>
      <c r="AK155" s="77" t="s">
        <v>42</v>
      </c>
      <c r="AL155" s="51">
        <v>11174</v>
      </c>
      <c r="AM155" s="72" t="s">
        <v>244</v>
      </c>
      <c r="AN155" s="190" t="s">
        <v>245</v>
      </c>
      <c r="AO155" s="159">
        <f t="shared" si="217"/>
        <v>206129.02019992867</v>
      </c>
      <c r="AP155" s="159">
        <f t="shared" si="217"/>
        <v>68709.673399976222</v>
      </c>
      <c r="AQ155" s="159">
        <f t="shared" si="218"/>
        <v>0</v>
      </c>
      <c r="AR155" s="159">
        <f t="shared" si="218"/>
        <v>24275.671290704762</v>
      </c>
      <c r="AS155" s="159">
        <f t="shared" si="218"/>
        <v>0</v>
      </c>
      <c r="AT155" s="159">
        <f t="shared" si="218"/>
        <v>34354.836699988118</v>
      </c>
      <c r="AU155" s="159">
        <f t="shared" si="218"/>
        <v>6870.9673399976236</v>
      </c>
      <c r="AV155" s="159">
        <f t="shared" si="218"/>
        <v>40265.550284189791</v>
      </c>
      <c r="AW155" s="159">
        <f t="shared" si="218"/>
        <v>27563.602767584307</v>
      </c>
      <c r="AX155" s="159">
        <f t="shared" si="218"/>
        <v>16300.179046472094</v>
      </c>
      <c r="AY155" s="159">
        <f t="shared" si="218"/>
        <v>0</v>
      </c>
      <c r="AZ155" s="159">
        <f t="shared" si="218"/>
        <v>9481.9349291967192</v>
      </c>
      <c r="BA155" s="50"/>
      <c r="BB155" s="64"/>
      <c r="BC155" s="66"/>
      <c r="BD155" s="66"/>
      <c r="BE155" s="66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  <c r="FP155" s="50"/>
      <c r="FQ155" s="50"/>
      <c r="FR155" s="50"/>
      <c r="FS155" s="50"/>
      <c r="FT155" s="50"/>
      <c r="FU155" s="50"/>
    </row>
    <row r="156" spans="1:177" s="102" customFormat="1" ht="21" customHeight="1" x14ac:dyDescent="0.2">
      <c r="A156" s="50"/>
      <c r="B156" s="51">
        <v>17</v>
      </c>
      <c r="C156" s="73" t="s">
        <v>42</v>
      </c>
      <c r="D156" s="67">
        <v>6137</v>
      </c>
      <c r="E156" s="73" t="s">
        <v>246</v>
      </c>
      <c r="F156" s="191" t="s">
        <v>247</v>
      </c>
      <c r="G156" s="55">
        <v>43101</v>
      </c>
      <c r="H156" s="56" t="str">
        <f t="shared" si="215"/>
        <v>6 AÑOS</v>
      </c>
      <c r="I156" s="57">
        <v>20122.78919356496</v>
      </c>
      <c r="J156" s="58"/>
      <c r="K156" s="58"/>
      <c r="L156" s="59"/>
      <c r="M156" s="60">
        <v>4.0000000000000002E-4</v>
      </c>
      <c r="N156" s="61">
        <f>I156*0.04</f>
        <v>804.91156774259844</v>
      </c>
      <c r="O156" s="58">
        <f t="shared" si="189"/>
        <v>20927.700761307558</v>
      </c>
      <c r="P156" s="61">
        <f t="shared" si="190"/>
        <v>41855.401522615117</v>
      </c>
      <c r="Q156" s="61">
        <f t="shared" si="191"/>
        <v>31391.551141961339</v>
      </c>
      <c r="R156" s="61">
        <f t="shared" si="192"/>
        <v>10463.850380653779</v>
      </c>
      <c r="S156" s="61">
        <f t="shared" si="193"/>
        <v>1395.1800507538371</v>
      </c>
      <c r="T156" s="58">
        <f t="shared" si="194"/>
        <v>1601.5271802603295</v>
      </c>
      <c r="U156" s="61">
        <f t="shared" si="195"/>
        <v>15695.77557098067</v>
      </c>
      <c r="V156" s="58">
        <f t="shared" si="196"/>
        <v>5231.9251903268896</v>
      </c>
      <c r="W156" s="62">
        <v>0</v>
      </c>
      <c r="X156" s="63">
        <f t="shared" si="197"/>
        <v>0</v>
      </c>
      <c r="Y156" s="61">
        <v>5071.4070045893077</v>
      </c>
      <c r="Z156" s="61">
        <v>0</v>
      </c>
      <c r="AA156" s="61">
        <f t="shared" si="198"/>
        <v>5231.9251903268896</v>
      </c>
      <c r="AB156" s="61">
        <f t="shared" si="199"/>
        <v>1046.3850380653778</v>
      </c>
      <c r="AC156" s="61">
        <v>5678.27675445772</v>
      </c>
      <c r="AD156" s="61">
        <v>4197.6828158213366</v>
      </c>
      <c r="AE156" s="61">
        <v>2482.3671294035107</v>
      </c>
      <c r="AF156" s="61">
        <v>0</v>
      </c>
      <c r="AG156" s="61">
        <f t="shared" si="200"/>
        <v>1444.0113525302213</v>
      </c>
      <c r="AH156" s="64"/>
      <c r="AI156" s="64"/>
      <c r="AJ156" s="51">
        <v>17</v>
      </c>
      <c r="AK156" s="73" t="s">
        <v>42</v>
      </c>
      <c r="AL156" s="67">
        <v>6137</v>
      </c>
      <c r="AM156" s="73" t="s">
        <v>246</v>
      </c>
      <c r="AN156" s="191" t="s">
        <v>247</v>
      </c>
      <c r="AO156" s="159">
        <f t="shared" si="217"/>
        <v>376698.6137035361</v>
      </c>
      <c r="AP156" s="159">
        <f t="shared" si="217"/>
        <v>125566.20456784536</v>
      </c>
      <c r="AQ156" s="159">
        <f t="shared" si="218"/>
        <v>0</v>
      </c>
      <c r="AR156" s="159">
        <f t="shared" si="218"/>
        <v>60856.884055071692</v>
      </c>
      <c r="AS156" s="159">
        <f t="shared" si="218"/>
        <v>0</v>
      </c>
      <c r="AT156" s="159">
        <f t="shared" si="218"/>
        <v>62783.102283922679</v>
      </c>
      <c r="AU156" s="159">
        <f t="shared" si="218"/>
        <v>12556.620456784534</v>
      </c>
      <c r="AV156" s="159">
        <f t="shared" si="218"/>
        <v>68139.321053492633</v>
      </c>
      <c r="AW156" s="159">
        <f t="shared" si="218"/>
        <v>50372.193789856043</v>
      </c>
      <c r="AX156" s="159">
        <f t="shared" si="218"/>
        <v>29788.40555284213</v>
      </c>
      <c r="AY156" s="159">
        <f t="shared" si="218"/>
        <v>0</v>
      </c>
      <c r="AZ156" s="159">
        <f t="shared" si="218"/>
        <v>17328.136230362656</v>
      </c>
      <c r="BA156" s="50"/>
      <c r="BB156" s="64"/>
      <c r="BC156" s="66"/>
      <c r="BD156" s="66"/>
      <c r="BE156" s="66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  <c r="FP156" s="50"/>
      <c r="FQ156" s="50"/>
      <c r="FR156" s="50"/>
      <c r="FS156" s="50"/>
      <c r="FT156" s="50"/>
      <c r="FU156" s="50"/>
    </row>
    <row r="157" spans="1:177" s="96" customFormat="1" ht="21" customHeight="1" x14ac:dyDescent="0.2">
      <c r="A157" s="50"/>
      <c r="B157" s="468" t="s">
        <v>65</v>
      </c>
      <c r="C157" s="469"/>
      <c r="D157" s="469"/>
      <c r="E157" s="469"/>
      <c r="F157" s="470"/>
      <c r="G157" s="139"/>
      <c r="H157" s="90"/>
      <c r="I157" s="91">
        <f t="shared" ref="I157:AG157" si="219">SUM(I140:I156)</f>
        <v>167118.99088930711</v>
      </c>
      <c r="J157" s="91">
        <f t="shared" si="219"/>
        <v>11451.38</v>
      </c>
      <c r="K157" s="91">
        <f t="shared" si="219"/>
        <v>2001.6720028159998</v>
      </c>
      <c r="L157" s="91">
        <f t="shared" si="219"/>
        <v>21.182368845815081</v>
      </c>
      <c r="M157" s="91">
        <f t="shared" si="219"/>
        <v>8.5180000000000013E-3</v>
      </c>
      <c r="N157" s="91">
        <f t="shared" si="219"/>
        <v>8308.2194694884947</v>
      </c>
      <c r="O157" s="91">
        <f t="shared" si="219"/>
        <v>175427.21035879556</v>
      </c>
      <c r="P157" s="91">
        <f t="shared" si="219"/>
        <v>350854.42071759113</v>
      </c>
      <c r="Q157" s="91">
        <f t="shared" si="219"/>
        <v>263140.81553819339</v>
      </c>
      <c r="R157" s="91">
        <f t="shared" si="219"/>
        <v>87713.605179397782</v>
      </c>
      <c r="S157" s="91">
        <f t="shared" si="219"/>
        <v>11695.147357253039</v>
      </c>
      <c r="T157" s="91">
        <f t="shared" si="219"/>
        <v>13424.859651390761</v>
      </c>
      <c r="U157" s="91">
        <f t="shared" si="219"/>
        <v>131570.4077690967</v>
      </c>
      <c r="V157" s="91">
        <f t="shared" si="219"/>
        <v>43856.802589698891</v>
      </c>
      <c r="W157" s="91">
        <f t="shared" si="219"/>
        <v>0</v>
      </c>
      <c r="X157" s="91">
        <f t="shared" si="219"/>
        <v>0</v>
      </c>
      <c r="Y157" s="91">
        <f t="shared" si="219"/>
        <v>29774.096788733099</v>
      </c>
      <c r="Z157" s="91">
        <f t="shared" si="219"/>
        <v>0</v>
      </c>
      <c r="AA157" s="91">
        <f t="shared" si="219"/>
        <v>43856.802589698891</v>
      </c>
      <c r="AB157" s="91">
        <f t="shared" si="219"/>
        <v>8771.3605179397819</v>
      </c>
      <c r="AC157" s="91">
        <f t="shared" si="219"/>
        <v>52324.237898537387</v>
      </c>
      <c r="AD157" s="91">
        <f t="shared" si="219"/>
        <v>35187.273696554854</v>
      </c>
      <c r="AE157" s="91">
        <f t="shared" si="219"/>
        <v>20808.559252841427</v>
      </c>
      <c r="AF157" s="91">
        <f t="shared" si="219"/>
        <v>0</v>
      </c>
      <c r="AG157" s="91">
        <f t="shared" si="219"/>
        <v>12104.477514756894</v>
      </c>
      <c r="AH157" s="92"/>
      <c r="AI157" s="92"/>
      <c r="AJ157" s="468" t="s">
        <v>65</v>
      </c>
      <c r="AK157" s="469"/>
      <c r="AL157" s="469"/>
      <c r="AM157" s="469"/>
      <c r="AN157" s="470"/>
      <c r="AO157" s="144">
        <f>SUM(AO140:AO156)+120374.1</f>
        <v>3133876.0271456311</v>
      </c>
      <c r="AP157" s="144">
        <f>SUM(AP140:AP156)+40124.7</f>
        <v>1044625.342381877</v>
      </c>
      <c r="AQ157" s="144">
        <f>SUM(AQ140:AQ156)</f>
        <v>0</v>
      </c>
      <c r="AR157" s="144">
        <f>SUM(AR140:AR156)+10115.07</f>
        <v>354663.34639518353</v>
      </c>
      <c r="AS157" s="144">
        <f>SUM(AS140:AS156)</f>
        <v>0</v>
      </c>
      <c r="AT157" s="144">
        <f>SUM(AT140:AT156)+20062.35</f>
        <v>522312.6711909385</v>
      </c>
      <c r="AU157" s="144">
        <f>SUM(AU140:AU156)+4012.47</f>
        <v>104462.53423818771</v>
      </c>
      <c r="AV157" s="144">
        <f>SUM(AV140:AV156)+25703.43</f>
        <v>623999.19018196419</v>
      </c>
      <c r="AW157" s="144">
        <f>SUM(AW140:AW156)+16096.44</f>
        <v>419062.81208130036</v>
      </c>
      <c r="AX157" s="144">
        <f>SUM(AX140:AX156)+9518.89</f>
        <v>247819.52399248985</v>
      </c>
      <c r="AY157" s="144">
        <f>SUM(AY140:AY156)</f>
        <v>0</v>
      </c>
      <c r="AZ157" s="144">
        <f>SUM(AZ140:AZ156)+5537.21</f>
        <v>144158.29864869907</v>
      </c>
      <c r="BA157" s="94"/>
      <c r="BB157" s="92"/>
      <c r="BC157" s="95"/>
      <c r="BD157" s="95"/>
      <c r="BE157" s="95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  <c r="FP157" s="50"/>
      <c r="FQ157" s="50"/>
      <c r="FR157" s="50"/>
      <c r="FS157" s="50"/>
      <c r="FT157" s="50"/>
      <c r="FU157" s="50"/>
    </row>
    <row r="158" spans="1:177" ht="21" customHeight="1" x14ac:dyDescent="0.2">
      <c r="B158" s="67">
        <v>19</v>
      </c>
      <c r="C158" s="73" t="s">
        <v>66</v>
      </c>
      <c r="D158" s="67">
        <v>20008</v>
      </c>
      <c r="E158" s="72" t="s">
        <v>248</v>
      </c>
      <c r="F158" s="72" t="s">
        <v>249</v>
      </c>
      <c r="G158" s="55">
        <v>41568</v>
      </c>
      <c r="H158" s="56" t="str">
        <f t="shared" ref="H158:H191" si="220" xml:space="preserve"> CONCATENATE(DATEDIF(G158,H$5,"Y")," AÑOS")</f>
        <v>11 AÑOS</v>
      </c>
      <c r="I158" s="57">
        <v>6630.5087113332902</v>
      </c>
      <c r="J158" s="58"/>
      <c r="K158" s="58"/>
      <c r="L158" s="59"/>
      <c r="M158" s="60">
        <v>4.0000000000000002E-4</v>
      </c>
      <c r="N158" s="61">
        <f t="shared" ref="N158:N191" si="221">I158*0.04</f>
        <v>265.22034845333161</v>
      </c>
      <c r="O158" s="58">
        <f t="shared" ref="O158:O191" si="222">I158+N158</f>
        <v>6895.7290597866222</v>
      </c>
      <c r="P158" s="61">
        <f t="shared" ref="P158:P191" si="223">O158*2</f>
        <v>13791.458119573244</v>
      </c>
      <c r="Q158" s="61">
        <f t="shared" ref="Q158:Q191" si="224">P158*0.75</f>
        <v>10343.593589679933</v>
      </c>
      <c r="R158" s="61">
        <f t="shared" ref="R158:R191" si="225">P158*0.25</f>
        <v>3447.8645298933111</v>
      </c>
      <c r="S158" s="61">
        <f t="shared" ref="S158:S191" si="226">(P158/30)</f>
        <v>459.71527065244146</v>
      </c>
      <c r="T158" s="58">
        <f t="shared" ref="T158:T216" si="227">S158*1.1479</f>
        <v>527.70715918193753</v>
      </c>
      <c r="U158" s="61">
        <f t="shared" ref="U158:U191" si="228">O158*0.75</f>
        <v>5171.7967948399664</v>
      </c>
      <c r="V158" s="58">
        <f t="shared" ref="V158:V191" si="229">O158*0.25</f>
        <v>1723.9322649466556</v>
      </c>
      <c r="W158" s="101">
        <v>0.05</v>
      </c>
      <c r="X158" s="63">
        <f t="shared" ref="X158:X191" si="230">P158*W158</f>
        <v>689.57290597866222</v>
      </c>
      <c r="Y158" s="61">
        <v>812.42224655717655</v>
      </c>
      <c r="Z158" s="61">
        <v>0</v>
      </c>
      <c r="AA158" s="61">
        <f t="shared" ref="AA158:AA191" si="231">(S158*45)/12</f>
        <v>1723.9322649466556</v>
      </c>
      <c r="AB158" s="61">
        <f t="shared" ref="AB158:AB191" si="232">(S158*10)*(0.45*2)/12</f>
        <v>344.78645298933111</v>
      </c>
      <c r="AC158" s="61">
        <v>2238.7074154951997</v>
      </c>
      <c r="AD158" s="61">
        <v>1383.1468495738175</v>
      </c>
      <c r="AE158" s="61">
        <v>817.9460967320033</v>
      </c>
      <c r="AF158" s="61">
        <v>0</v>
      </c>
      <c r="AG158" s="61">
        <f t="shared" ref="AG158:AG191" si="233">(P158+AA158+AB158)*0.03</f>
        <v>475.8053051252769</v>
      </c>
      <c r="AH158" s="64"/>
      <c r="AI158" s="64"/>
      <c r="AJ158" s="67">
        <v>19</v>
      </c>
      <c r="AK158" s="73" t="s">
        <v>66</v>
      </c>
      <c r="AL158" s="67">
        <v>20008</v>
      </c>
      <c r="AM158" s="72" t="s">
        <v>248</v>
      </c>
      <c r="AN158" s="72" t="s">
        <v>249</v>
      </c>
      <c r="AO158" s="138">
        <f t="shared" ref="AO158:AO182" si="234">Q158*12</f>
        <v>124123.12307615919</v>
      </c>
      <c r="AP158" s="65">
        <f t="shared" ref="AP158:AP182" si="235">R158*12</f>
        <v>41374.374358719731</v>
      </c>
      <c r="AQ158" s="65">
        <f t="shared" ref="AQ158:AQ182" si="236">X158*12</f>
        <v>8274.8748717439466</v>
      </c>
      <c r="AR158" s="65">
        <f t="shared" ref="AR158:AR182" si="237">Y158*12</f>
        <v>9749.0669586861186</v>
      </c>
      <c r="AS158" s="65">
        <f t="shared" ref="AS158:AS182" si="238">Z158*12</f>
        <v>0</v>
      </c>
      <c r="AT158" s="65">
        <f t="shared" ref="AT158:AT182" si="239">AA158*12</f>
        <v>20687.187179359866</v>
      </c>
      <c r="AU158" s="65">
        <f t="shared" ref="AU158:AU182" si="240">AB158*12</f>
        <v>4137.4374358719733</v>
      </c>
      <c r="AV158" s="65">
        <f t="shared" ref="AV158:AV182" si="241">AC158*12</f>
        <v>26864.488985942397</v>
      </c>
      <c r="AW158" s="65">
        <f t="shared" ref="AW158:AW182" si="242">AD158*12</f>
        <v>16597.76219488581</v>
      </c>
      <c r="AX158" s="65">
        <f t="shared" ref="AX158:AX182" si="243">AE158*12</f>
        <v>9815.3531607840396</v>
      </c>
      <c r="AY158" s="65">
        <f t="shared" ref="AY158:AY182" si="244">AF158*12</f>
        <v>0</v>
      </c>
      <c r="AZ158" s="65">
        <f t="shared" ref="AZ158:AZ182" si="245">AG158*12</f>
        <v>5709.6636615033231</v>
      </c>
      <c r="BB158" s="64"/>
      <c r="BC158" s="66"/>
      <c r="BD158" s="66"/>
      <c r="BE158" s="66"/>
    </row>
    <row r="159" spans="1:177" ht="21" customHeight="1" x14ac:dyDescent="0.2">
      <c r="B159" s="67">
        <v>20</v>
      </c>
      <c r="C159" s="73" t="s">
        <v>66</v>
      </c>
      <c r="D159" s="67">
        <v>6107</v>
      </c>
      <c r="E159" s="72" t="s">
        <v>250</v>
      </c>
      <c r="F159" s="112" t="s">
        <v>135</v>
      </c>
      <c r="G159" s="56">
        <v>40909</v>
      </c>
      <c r="H159" s="56" t="str">
        <f t="shared" si="220"/>
        <v>12 AÑOS</v>
      </c>
      <c r="I159" s="57">
        <v>6473.7189041991969</v>
      </c>
      <c r="J159" s="58"/>
      <c r="K159" s="58"/>
      <c r="L159" s="59"/>
      <c r="M159" s="60">
        <v>4.0000000000000002E-4</v>
      </c>
      <c r="N159" s="61">
        <f t="shared" si="221"/>
        <v>258.94875616796787</v>
      </c>
      <c r="O159" s="58">
        <f t="shared" si="222"/>
        <v>6732.6676603671649</v>
      </c>
      <c r="P159" s="61">
        <f t="shared" si="223"/>
        <v>13465.33532073433</v>
      </c>
      <c r="Q159" s="61">
        <f t="shared" si="224"/>
        <v>10099.001490550747</v>
      </c>
      <c r="R159" s="61">
        <f t="shared" si="225"/>
        <v>3366.3338301835824</v>
      </c>
      <c r="S159" s="61">
        <f t="shared" si="226"/>
        <v>448.84451069114431</v>
      </c>
      <c r="T159" s="58">
        <f t="shared" si="227"/>
        <v>515.22861382236454</v>
      </c>
      <c r="U159" s="61">
        <f t="shared" si="228"/>
        <v>5049.5007452753734</v>
      </c>
      <c r="V159" s="58">
        <f t="shared" si="229"/>
        <v>1683.1669150917912</v>
      </c>
      <c r="W159" s="101">
        <v>0.05</v>
      </c>
      <c r="X159" s="63">
        <f t="shared" si="230"/>
        <v>673.26676603671649</v>
      </c>
      <c r="Y159" s="61">
        <v>785.81062617192117</v>
      </c>
      <c r="Z159" s="61">
        <v>0</v>
      </c>
      <c r="AA159" s="61">
        <f t="shared" si="231"/>
        <v>1683.1669150917912</v>
      </c>
      <c r="AB159" s="61">
        <f t="shared" si="232"/>
        <v>336.63338301835824</v>
      </c>
      <c r="AC159" s="61">
        <v>2198.7371959322072</v>
      </c>
      <c r="AD159" s="61">
        <v>1350.4399582591086</v>
      </c>
      <c r="AE159" s="61">
        <v>798.60435142466508</v>
      </c>
      <c r="AF159" s="61">
        <v>0</v>
      </c>
      <c r="AG159" s="61">
        <f t="shared" si="233"/>
        <v>464.55406856533432</v>
      </c>
      <c r="AH159" s="64"/>
      <c r="AI159" s="64"/>
      <c r="AJ159" s="67">
        <v>20</v>
      </c>
      <c r="AK159" s="73" t="s">
        <v>66</v>
      </c>
      <c r="AL159" s="67">
        <v>6107</v>
      </c>
      <c r="AM159" s="72" t="s">
        <v>250</v>
      </c>
      <c r="AN159" s="112" t="s">
        <v>135</v>
      </c>
      <c r="AO159" s="138">
        <f t="shared" si="234"/>
        <v>121188.01788660896</v>
      </c>
      <c r="AP159" s="65">
        <f t="shared" si="235"/>
        <v>40396.005962202988</v>
      </c>
      <c r="AQ159" s="65">
        <f t="shared" si="236"/>
        <v>8079.2011924405979</v>
      </c>
      <c r="AR159" s="65">
        <f t="shared" si="237"/>
        <v>9429.7275140630536</v>
      </c>
      <c r="AS159" s="65">
        <f t="shared" si="238"/>
        <v>0</v>
      </c>
      <c r="AT159" s="65">
        <f t="shared" si="239"/>
        <v>20198.002981101494</v>
      </c>
      <c r="AU159" s="65">
        <f t="shared" si="240"/>
        <v>4039.6005962202989</v>
      </c>
      <c r="AV159" s="65">
        <f t="shared" si="241"/>
        <v>26384.846351186487</v>
      </c>
      <c r="AW159" s="65">
        <f t="shared" si="242"/>
        <v>16205.279499109303</v>
      </c>
      <c r="AX159" s="65">
        <f t="shared" si="243"/>
        <v>9583.2522170959819</v>
      </c>
      <c r="AY159" s="65">
        <f t="shared" si="244"/>
        <v>0</v>
      </c>
      <c r="AZ159" s="65">
        <f t="shared" si="245"/>
        <v>5574.6488227840118</v>
      </c>
      <c r="BB159" s="64"/>
      <c r="BC159" s="66"/>
      <c r="BD159" s="66"/>
      <c r="BE159" s="66"/>
    </row>
    <row r="160" spans="1:177" ht="21" customHeight="1" x14ac:dyDescent="0.2">
      <c r="B160" s="67">
        <v>21</v>
      </c>
      <c r="C160" s="73" t="s">
        <v>66</v>
      </c>
      <c r="D160" s="67">
        <v>6130</v>
      </c>
      <c r="E160" s="72" t="s">
        <v>251</v>
      </c>
      <c r="F160" s="112" t="s">
        <v>135</v>
      </c>
      <c r="G160" s="55">
        <v>42370</v>
      </c>
      <c r="H160" s="56" t="str">
        <f t="shared" si="220"/>
        <v>8 AÑOS</v>
      </c>
      <c r="I160" s="57">
        <v>6473.7189041991969</v>
      </c>
      <c r="J160" s="58"/>
      <c r="K160" s="58"/>
      <c r="L160" s="59"/>
      <c r="M160" s="60">
        <v>4.0000000000000002E-4</v>
      </c>
      <c r="N160" s="61">
        <f t="shared" si="221"/>
        <v>258.94875616796787</v>
      </c>
      <c r="O160" s="58">
        <f t="shared" si="222"/>
        <v>6732.6676603671649</v>
      </c>
      <c r="P160" s="61">
        <f t="shared" si="223"/>
        <v>13465.33532073433</v>
      </c>
      <c r="Q160" s="61">
        <f t="shared" si="224"/>
        <v>10099.001490550747</v>
      </c>
      <c r="R160" s="61">
        <f t="shared" si="225"/>
        <v>3366.3338301835824</v>
      </c>
      <c r="S160" s="61">
        <f t="shared" si="226"/>
        <v>448.84451069114431</v>
      </c>
      <c r="T160" s="58">
        <f t="shared" si="227"/>
        <v>515.22861382236454</v>
      </c>
      <c r="U160" s="61">
        <f t="shared" si="228"/>
        <v>5049.5007452753734</v>
      </c>
      <c r="V160" s="58">
        <f t="shared" si="229"/>
        <v>1683.1669150917912</v>
      </c>
      <c r="W160" s="101">
        <v>2.5000000000000001E-2</v>
      </c>
      <c r="X160" s="63">
        <f t="shared" si="230"/>
        <v>336.63338301835824</v>
      </c>
      <c r="Y160" s="61">
        <v>785.81062617192117</v>
      </c>
      <c r="Z160" s="61">
        <v>0</v>
      </c>
      <c r="AA160" s="61">
        <f t="shared" si="231"/>
        <v>1683.1669150917912</v>
      </c>
      <c r="AB160" s="61">
        <f t="shared" si="232"/>
        <v>336.63338301835824</v>
      </c>
      <c r="AC160" s="61">
        <v>2198.7371959322072</v>
      </c>
      <c r="AD160" s="61">
        <v>1350.4399582591086</v>
      </c>
      <c r="AE160" s="61">
        <v>798.60435142466508</v>
      </c>
      <c r="AF160" s="61">
        <v>0</v>
      </c>
      <c r="AG160" s="61">
        <f t="shared" si="233"/>
        <v>464.55406856533432</v>
      </c>
      <c r="AH160" s="64"/>
      <c r="AI160" s="64"/>
      <c r="AJ160" s="67">
        <v>21</v>
      </c>
      <c r="AK160" s="73" t="s">
        <v>66</v>
      </c>
      <c r="AL160" s="67">
        <v>6130</v>
      </c>
      <c r="AM160" s="72" t="s">
        <v>251</v>
      </c>
      <c r="AN160" s="112" t="s">
        <v>135</v>
      </c>
      <c r="AO160" s="138">
        <f t="shared" si="234"/>
        <v>121188.01788660896</v>
      </c>
      <c r="AP160" s="65">
        <f t="shared" si="235"/>
        <v>40396.005962202988</v>
      </c>
      <c r="AQ160" s="65">
        <f t="shared" si="236"/>
        <v>4039.6005962202989</v>
      </c>
      <c r="AR160" s="65">
        <f t="shared" si="237"/>
        <v>9429.7275140630536</v>
      </c>
      <c r="AS160" s="65">
        <f t="shared" si="238"/>
        <v>0</v>
      </c>
      <c r="AT160" s="65">
        <f t="shared" si="239"/>
        <v>20198.002981101494</v>
      </c>
      <c r="AU160" s="65">
        <f t="shared" si="240"/>
        <v>4039.6005962202989</v>
      </c>
      <c r="AV160" s="65">
        <f t="shared" si="241"/>
        <v>26384.846351186487</v>
      </c>
      <c r="AW160" s="65">
        <f t="shared" si="242"/>
        <v>16205.279499109303</v>
      </c>
      <c r="AX160" s="65">
        <f t="shared" si="243"/>
        <v>9583.2522170959819</v>
      </c>
      <c r="AY160" s="65">
        <f t="shared" si="244"/>
        <v>0</v>
      </c>
      <c r="AZ160" s="65">
        <f t="shared" si="245"/>
        <v>5574.6488227840118</v>
      </c>
      <c r="BB160" s="64"/>
      <c r="BC160" s="66"/>
      <c r="BD160" s="66"/>
      <c r="BE160" s="66"/>
    </row>
    <row r="161" spans="2:57" ht="21" customHeight="1" x14ac:dyDescent="0.2">
      <c r="B161" s="67">
        <v>22</v>
      </c>
      <c r="C161" s="73" t="s">
        <v>66</v>
      </c>
      <c r="D161" s="67">
        <v>6080</v>
      </c>
      <c r="E161" s="72" t="s">
        <v>252</v>
      </c>
      <c r="F161" s="72" t="s">
        <v>253</v>
      </c>
      <c r="G161" s="55">
        <v>39814</v>
      </c>
      <c r="H161" s="56" t="str">
        <f t="shared" si="220"/>
        <v>15 AÑOS</v>
      </c>
      <c r="I161" s="57">
        <v>6473.7189041991969</v>
      </c>
      <c r="J161" s="58"/>
      <c r="K161" s="58"/>
      <c r="L161" s="59"/>
      <c r="M161" s="60">
        <v>4.0000000000000002E-4</v>
      </c>
      <c r="N161" s="61">
        <f t="shared" si="221"/>
        <v>258.94875616796787</v>
      </c>
      <c r="O161" s="58">
        <f t="shared" si="222"/>
        <v>6732.6676603671649</v>
      </c>
      <c r="P161" s="61">
        <f t="shared" si="223"/>
        <v>13465.33532073433</v>
      </c>
      <c r="Q161" s="61">
        <f t="shared" si="224"/>
        <v>10099.001490550747</v>
      </c>
      <c r="R161" s="61">
        <f t="shared" si="225"/>
        <v>3366.3338301835824</v>
      </c>
      <c r="S161" s="61">
        <f t="shared" si="226"/>
        <v>448.84451069114431</v>
      </c>
      <c r="T161" s="58">
        <f t="shared" si="227"/>
        <v>515.22861382236454</v>
      </c>
      <c r="U161" s="61">
        <f t="shared" si="228"/>
        <v>5049.5007452753734</v>
      </c>
      <c r="V161" s="58">
        <f t="shared" si="229"/>
        <v>1683.1669150917912</v>
      </c>
      <c r="W161" s="101">
        <v>7.4999999999999997E-2</v>
      </c>
      <c r="X161" s="63">
        <f t="shared" si="230"/>
        <v>1009.9001490550747</v>
      </c>
      <c r="Y161" s="61">
        <v>785.81062617192117</v>
      </c>
      <c r="Z161" s="61">
        <v>0</v>
      </c>
      <c r="AA161" s="61">
        <f t="shared" si="231"/>
        <v>1683.1669150917912</v>
      </c>
      <c r="AB161" s="61">
        <f t="shared" si="232"/>
        <v>336.63338301835824</v>
      </c>
      <c r="AC161" s="61">
        <v>2198.7371959322072</v>
      </c>
      <c r="AD161" s="61">
        <v>1350.4399582591086</v>
      </c>
      <c r="AE161" s="61">
        <v>798.60435142466508</v>
      </c>
      <c r="AF161" s="61">
        <v>0</v>
      </c>
      <c r="AG161" s="61">
        <f t="shared" si="233"/>
        <v>464.55406856533432</v>
      </c>
      <c r="AH161" s="64"/>
      <c r="AI161" s="64"/>
      <c r="AJ161" s="67">
        <v>22</v>
      </c>
      <c r="AK161" s="73" t="s">
        <v>66</v>
      </c>
      <c r="AL161" s="67">
        <v>6080</v>
      </c>
      <c r="AM161" s="72" t="s">
        <v>252</v>
      </c>
      <c r="AN161" s="72" t="s">
        <v>253</v>
      </c>
      <c r="AO161" s="138">
        <f t="shared" si="234"/>
        <v>121188.01788660896</v>
      </c>
      <c r="AP161" s="65">
        <f t="shared" si="235"/>
        <v>40396.005962202988</v>
      </c>
      <c r="AQ161" s="65">
        <f t="shared" si="236"/>
        <v>12118.801788660898</v>
      </c>
      <c r="AR161" s="65">
        <f t="shared" si="237"/>
        <v>9429.7275140630536</v>
      </c>
      <c r="AS161" s="65">
        <f t="shared" si="238"/>
        <v>0</v>
      </c>
      <c r="AT161" s="65">
        <f t="shared" si="239"/>
        <v>20198.002981101494</v>
      </c>
      <c r="AU161" s="65">
        <f t="shared" si="240"/>
        <v>4039.6005962202989</v>
      </c>
      <c r="AV161" s="65">
        <f t="shared" si="241"/>
        <v>26384.846351186487</v>
      </c>
      <c r="AW161" s="65">
        <f t="shared" si="242"/>
        <v>16205.279499109303</v>
      </c>
      <c r="AX161" s="65">
        <f t="shared" si="243"/>
        <v>9583.2522170959819</v>
      </c>
      <c r="AY161" s="65">
        <f t="shared" si="244"/>
        <v>0</v>
      </c>
      <c r="AZ161" s="65">
        <f t="shared" si="245"/>
        <v>5574.6488227840118</v>
      </c>
      <c r="BB161" s="64"/>
      <c r="BC161" s="66"/>
      <c r="BD161" s="66"/>
      <c r="BE161" s="66"/>
    </row>
    <row r="162" spans="2:57" ht="21" customHeight="1" x14ac:dyDescent="0.2">
      <c r="B162" s="67">
        <v>23</v>
      </c>
      <c r="C162" s="73" t="s">
        <v>66</v>
      </c>
      <c r="D162" s="67">
        <v>11075</v>
      </c>
      <c r="E162" s="72" t="s">
        <v>254</v>
      </c>
      <c r="F162" s="72" t="s">
        <v>253</v>
      </c>
      <c r="G162" s="55">
        <v>36962</v>
      </c>
      <c r="H162" s="56" t="str">
        <f t="shared" si="220"/>
        <v>23 AÑOS</v>
      </c>
      <c r="I162" s="57">
        <v>6473.7189041991969</v>
      </c>
      <c r="J162" s="58"/>
      <c r="K162" s="58"/>
      <c r="L162" s="59"/>
      <c r="M162" s="60">
        <v>4.0000000000000002E-4</v>
      </c>
      <c r="N162" s="61">
        <f t="shared" si="221"/>
        <v>258.94875616796787</v>
      </c>
      <c r="O162" s="58">
        <f t="shared" si="222"/>
        <v>6732.6676603671649</v>
      </c>
      <c r="P162" s="61">
        <f t="shared" si="223"/>
        <v>13465.33532073433</v>
      </c>
      <c r="Q162" s="61">
        <f t="shared" si="224"/>
        <v>10099.001490550747</v>
      </c>
      <c r="R162" s="61">
        <f t="shared" si="225"/>
        <v>3366.3338301835824</v>
      </c>
      <c r="S162" s="61">
        <f t="shared" si="226"/>
        <v>448.84451069114431</v>
      </c>
      <c r="T162" s="58">
        <f t="shared" si="227"/>
        <v>515.22861382236454</v>
      </c>
      <c r="U162" s="61">
        <f t="shared" si="228"/>
        <v>5049.5007452753734</v>
      </c>
      <c r="V162" s="58">
        <f t="shared" si="229"/>
        <v>1683.1669150917912</v>
      </c>
      <c r="W162" s="101">
        <v>7.4999999999999997E-2</v>
      </c>
      <c r="X162" s="63">
        <f t="shared" si="230"/>
        <v>1009.9001490550747</v>
      </c>
      <c r="Y162" s="61">
        <v>785.81062617192117</v>
      </c>
      <c r="Z162" s="61">
        <v>0</v>
      </c>
      <c r="AA162" s="61">
        <f t="shared" si="231"/>
        <v>1683.1669150917912</v>
      </c>
      <c r="AB162" s="61">
        <f t="shared" si="232"/>
        <v>336.63338301835824</v>
      </c>
      <c r="AC162" s="61">
        <v>2198.7371959322072</v>
      </c>
      <c r="AD162" s="61">
        <v>1350.4399582591086</v>
      </c>
      <c r="AE162" s="61">
        <v>798.60435142466508</v>
      </c>
      <c r="AF162" s="61">
        <v>0</v>
      </c>
      <c r="AG162" s="61">
        <f t="shared" si="233"/>
        <v>464.55406856533432</v>
      </c>
      <c r="AH162" s="64"/>
      <c r="AI162" s="64"/>
      <c r="AJ162" s="67">
        <v>23</v>
      </c>
      <c r="AK162" s="73" t="s">
        <v>66</v>
      </c>
      <c r="AL162" s="67">
        <v>11075</v>
      </c>
      <c r="AM162" s="72" t="s">
        <v>254</v>
      </c>
      <c r="AN162" s="72" t="s">
        <v>253</v>
      </c>
      <c r="AO162" s="138">
        <f t="shared" si="234"/>
        <v>121188.01788660896</v>
      </c>
      <c r="AP162" s="65">
        <f t="shared" si="235"/>
        <v>40396.005962202988</v>
      </c>
      <c r="AQ162" s="65">
        <f t="shared" si="236"/>
        <v>12118.801788660898</v>
      </c>
      <c r="AR162" s="65">
        <f t="shared" si="237"/>
        <v>9429.7275140630536</v>
      </c>
      <c r="AS162" s="65">
        <f t="shared" si="238"/>
        <v>0</v>
      </c>
      <c r="AT162" s="65">
        <f t="shared" si="239"/>
        <v>20198.002981101494</v>
      </c>
      <c r="AU162" s="65">
        <f t="shared" si="240"/>
        <v>4039.6005962202989</v>
      </c>
      <c r="AV162" s="65">
        <f t="shared" si="241"/>
        <v>26384.846351186487</v>
      </c>
      <c r="AW162" s="65">
        <f t="shared" si="242"/>
        <v>16205.279499109303</v>
      </c>
      <c r="AX162" s="65">
        <f t="shared" si="243"/>
        <v>9583.2522170959819</v>
      </c>
      <c r="AY162" s="65">
        <f t="shared" si="244"/>
        <v>0</v>
      </c>
      <c r="AZ162" s="65">
        <f t="shared" si="245"/>
        <v>5574.6488227840118</v>
      </c>
      <c r="BB162" s="64"/>
      <c r="BC162" s="66"/>
      <c r="BD162" s="66"/>
      <c r="BE162" s="66"/>
    </row>
    <row r="163" spans="2:57" ht="21" customHeight="1" x14ac:dyDescent="0.2">
      <c r="B163" s="67">
        <v>24</v>
      </c>
      <c r="C163" s="73" t="s">
        <v>66</v>
      </c>
      <c r="D163" s="67">
        <v>6066</v>
      </c>
      <c r="E163" s="72" t="s">
        <v>255</v>
      </c>
      <c r="F163" s="72" t="s">
        <v>253</v>
      </c>
      <c r="G163" s="55">
        <v>38358</v>
      </c>
      <c r="H163" s="56" t="str">
        <f t="shared" si="220"/>
        <v>19 AÑOS</v>
      </c>
      <c r="I163" s="57">
        <v>6473.7189041991969</v>
      </c>
      <c r="J163" s="58"/>
      <c r="K163" s="58"/>
      <c r="L163" s="59"/>
      <c r="M163" s="60">
        <v>4.0000000000000002E-4</v>
      </c>
      <c r="N163" s="61">
        <f t="shared" si="221"/>
        <v>258.94875616796787</v>
      </c>
      <c r="O163" s="58">
        <f t="shared" si="222"/>
        <v>6732.6676603671649</v>
      </c>
      <c r="P163" s="61">
        <f t="shared" si="223"/>
        <v>13465.33532073433</v>
      </c>
      <c r="Q163" s="61">
        <f t="shared" si="224"/>
        <v>10099.001490550747</v>
      </c>
      <c r="R163" s="61">
        <f t="shared" si="225"/>
        <v>3366.3338301835824</v>
      </c>
      <c r="S163" s="61">
        <f t="shared" si="226"/>
        <v>448.84451069114431</v>
      </c>
      <c r="T163" s="58">
        <f t="shared" si="227"/>
        <v>515.22861382236454</v>
      </c>
      <c r="U163" s="61">
        <f t="shared" si="228"/>
        <v>5049.5007452753734</v>
      </c>
      <c r="V163" s="58">
        <f t="shared" si="229"/>
        <v>1683.1669150917912</v>
      </c>
      <c r="W163" s="101">
        <v>7.4999999999999997E-2</v>
      </c>
      <c r="X163" s="63">
        <f t="shared" si="230"/>
        <v>1009.9001490550747</v>
      </c>
      <c r="Y163" s="61">
        <v>785.81062617192117</v>
      </c>
      <c r="Z163" s="61">
        <v>0</v>
      </c>
      <c r="AA163" s="61">
        <f t="shared" si="231"/>
        <v>1683.1669150917912</v>
      </c>
      <c r="AB163" s="61">
        <f t="shared" si="232"/>
        <v>336.63338301835824</v>
      </c>
      <c r="AC163" s="61">
        <v>2198.7371959322072</v>
      </c>
      <c r="AD163" s="61">
        <v>1350.4399582591086</v>
      </c>
      <c r="AE163" s="61">
        <v>798.60435142466508</v>
      </c>
      <c r="AF163" s="61">
        <v>0</v>
      </c>
      <c r="AG163" s="61">
        <f t="shared" si="233"/>
        <v>464.55406856533432</v>
      </c>
      <c r="AH163" s="64"/>
      <c r="AI163" s="64"/>
      <c r="AJ163" s="67">
        <v>24</v>
      </c>
      <c r="AK163" s="73" t="s">
        <v>66</v>
      </c>
      <c r="AL163" s="67">
        <v>6066</v>
      </c>
      <c r="AM163" s="72" t="s">
        <v>255</v>
      </c>
      <c r="AN163" s="72" t="s">
        <v>253</v>
      </c>
      <c r="AO163" s="138">
        <f t="shared" si="234"/>
        <v>121188.01788660896</v>
      </c>
      <c r="AP163" s="65">
        <f t="shared" si="235"/>
        <v>40396.005962202988</v>
      </c>
      <c r="AQ163" s="65">
        <f t="shared" si="236"/>
        <v>12118.801788660898</v>
      </c>
      <c r="AR163" s="65">
        <f t="shared" si="237"/>
        <v>9429.7275140630536</v>
      </c>
      <c r="AS163" s="65">
        <f t="shared" si="238"/>
        <v>0</v>
      </c>
      <c r="AT163" s="65">
        <f t="shared" si="239"/>
        <v>20198.002981101494</v>
      </c>
      <c r="AU163" s="65">
        <f t="shared" si="240"/>
        <v>4039.6005962202989</v>
      </c>
      <c r="AV163" s="65">
        <f t="shared" si="241"/>
        <v>26384.846351186487</v>
      </c>
      <c r="AW163" s="65">
        <f t="shared" si="242"/>
        <v>16205.279499109303</v>
      </c>
      <c r="AX163" s="65">
        <f t="shared" si="243"/>
        <v>9583.2522170959819</v>
      </c>
      <c r="AY163" s="65">
        <f t="shared" si="244"/>
        <v>0</v>
      </c>
      <c r="AZ163" s="65">
        <f t="shared" si="245"/>
        <v>5574.6488227840118</v>
      </c>
      <c r="BB163" s="64"/>
      <c r="BC163" s="66"/>
      <c r="BD163" s="66"/>
      <c r="BE163" s="66"/>
    </row>
    <row r="164" spans="2:57" ht="21" customHeight="1" x14ac:dyDescent="0.2">
      <c r="B164" s="67">
        <v>25</v>
      </c>
      <c r="C164" s="73" t="s">
        <v>66</v>
      </c>
      <c r="D164" s="67">
        <v>6003</v>
      </c>
      <c r="E164" s="72" t="s">
        <v>256</v>
      </c>
      <c r="F164" s="72" t="s">
        <v>253</v>
      </c>
      <c r="G164" s="55">
        <v>36242</v>
      </c>
      <c r="H164" s="56" t="str">
        <f t="shared" si="220"/>
        <v>25 AÑOS</v>
      </c>
      <c r="I164" s="57">
        <v>6473.7189041991969</v>
      </c>
      <c r="J164" s="58"/>
      <c r="K164" s="58"/>
      <c r="L164" s="59"/>
      <c r="M164" s="60">
        <v>4.0000000000000002E-4</v>
      </c>
      <c r="N164" s="61">
        <f t="shared" si="221"/>
        <v>258.94875616796787</v>
      </c>
      <c r="O164" s="58">
        <f t="shared" si="222"/>
        <v>6732.6676603671649</v>
      </c>
      <c r="P164" s="61">
        <f t="shared" si="223"/>
        <v>13465.33532073433</v>
      </c>
      <c r="Q164" s="61">
        <f t="shared" si="224"/>
        <v>10099.001490550747</v>
      </c>
      <c r="R164" s="61">
        <f t="shared" si="225"/>
        <v>3366.3338301835824</v>
      </c>
      <c r="S164" s="61">
        <f t="shared" si="226"/>
        <v>448.84451069114431</v>
      </c>
      <c r="T164" s="58">
        <f t="shared" si="227"/>
        <v>515.22861382236454</v>
      </c>
      <c r="U164" s="61">
        <f t="shared" si="228"/>
        <v>5049.5007452753734</v>
      </c>
      <c r="V164" s="58">
        <f t="shared" si="229"/>
        <v>1683.1669150917912</v>
      </c>
      <c r="W164" s="101">
        <v>7.4999999999999997E-2</v>
      </c>
      <c r="X164" s="63">
        <f t="shared" si="230"/>
        <v>1009.9001490550747</v>
      </c>
      <c r="Y164" s="61">
        <v>785.81062617192117</v>
      </c>
      <c r="Z164" s="61">
        <v>0</v>
      </c>
      <c r="AA164" s="61">
        <f t="shared" si="231"/>
        <v>1683.1669150917912</v>
      </c>
      <c r="AB164" s="61">
        <f t="shared" si="232"/>
        <v>336.63338301835824</v>
      </c>
      <c r="AC164" s="61">
        <v>2198.7371959322072</v>
      </c>
      <c r="AD164" s="61">
        <v>1350.4399582591086</v>
      </c>
      <c r="AE164" s="61">
        <v>798.60435142466508</v>
      </c>
      <c r="AF164" s="61">
        <v>0</v>
      </c>
      <c r="AG164" s="61">
        <f t="shared" si="233"/>
        <v>464.55406856533432</v>
      </c>
      <c r="AH164" s="64"/>
      <c r="AI164" s="64"/>
      <c r="AJ164" s="67">
        <v>25</v>
      </c>
      <c r="AK164" s="73" t="s">
        <v>66</v>
      </c>
      <c r="AL164" s="67">
        <v>6003</v>
      </c>
      <c r="AM164" s="72" t="s">
        <v>256</v>
      </c>
      <c r="AN164" s="72" t="s">
        <v>253</v>
      </c>
      <c r="AO164" s="138">
        <f t="shared" si="234"/>
        <v>121188.01788660896</v>
      </c>
      <c r="AP164" s="65">
        <f t="shared" si="235"/>
        <v>40396.005962202988</v>
      </c>
      <c r="AQ164" s="65">
        <f t="shared" si="236"/>
        <v>12118.801788660898</v>
      </c>
      <c r="AR164" s="65">
        <f t="shared" si="237"/>
        <v>9429.7275140630536</v>
      </c>
      <c r="AS164" s="65">
        <f t="shared" si="238"/>
        <v>0</v>
      </c>
      <c r="AT164" s="65">
        <f t="shared" si="239"/>
        <v>20198.002981101494</v>
      </c>
      <c r="AU164" s="65">
        <f t="shared" si="240"/>
        <v>4039.6005962202989</v>
      </c>
      <c r="AV164" s="65">
        <f t="shared" si="241"/>
        <v>26384.846351186487</v>
      </c>
      <c r="AW164" s="65">
        <f t="shared" si="242"/>
        <v>16205.279499109303</v>
      </c>
      <c r="AX164" s="65">
        <f t="shared" si="243"/>
        <v>9583.2522170959819</v>
      </c>
      <c r="AY164" s="65">
        <f t="shared" si="244"/>
        <v>0</v>
      </c>
      <c r="AZ164" s="65">
        <f t="shared" si="245"/>
        <v>5574.6488227840118</v>
      </c>
      <c r="BB164" s="64"/>
      <c r="BC164" s="66"/>
      <c r="BD164" s="66"/>
      <c r="BE164" s="66"/>
    </row>
    <row r="165" spans="2:57" ht="21" customHeight="1" x14ac:dyDescent="0.2">
      <c r="B165" s="67">
        <v>26</v>
      </c>
      <c r="C165" s="73" t="s">
        <v>66</v>
      </c>
      <c r="D165" s="67">
        <v>6156</v>
      </c>
      <c r="E165" s="72" t="s">
        <v>257</v>
      </c>
      <c r="F165" s="72" t="s">
        <v>253</v>
      </c>
      <c r="G165" s="55">
        <v>44470</v>
      </c>
      <c r="H165" s="56" t="str">
        <f t="shared" si="220"/>
        <v>3 AÑOS</v>
      </c>
      <c r="I165" s="57">
        <v>6473.7189041991969</v>
      </c>
      <c r="J165" s="58"/>
      <c r="K165" s="58"/>
      <c r="L165" s="59"/>
      <c r="M165" s="60">
        <v>4.0000000000000002E-4</v>
      </c>
      <c r="N165" s="61">
        <f t="shared" si="221"/>
        <v>258.94875616796787</v>
      </c>
      <c r="O165" s="58">
        <f t="shared" si="222"/>
        <v>6732.6676603671649</v>
      </c>
      <c r="P165" s="61">
        <f t="shared" si="223"/>
        <v>13465.33532073433</v>
      </c>
      <c r="Q165" s="61">
        <f t="shared" si="224"/>
        <v>10099.001490550747</v>
      </c>
      <c r="R165" s="61">
        <f t="shared" si="225"/>
        <v>3366.3338301835824</v>
      </c>
      <c r="S165" s="61">
        <f t="shared" si="226"/>
        <v>448.84451069114431</v>
      </c>
      <c r="T165" s="58">
        <f t="shared" si="227"/>
        <v>515.22861382236454</v>
      </c>
      <c r="U165" s="61">
        <f t="shared" si="228"/>
        <v>5049.5007452753734</v>
      </c>
      <c r="V165" s="58">
        <f t="shared" si="229"/>
        <v>1683.1669150917912</v>
      </c>
      <c r="W165" s="101">
        <v>7.4999999999999997E-2</v>
      </c>
      <c r="X165" s="63">
        <f t="shared" si="230"/>
        <v>1009.9001490550747</v>
      </c>
      <c r="Y165" s="61">
        <v>785.81062617192117</v>
      </c>
      <c r="Z165" s="61">
        <v>0</v>
      </c>
      <c r="AA165" s="61">
        <f t="shared" si="231"/>
        <v>1683.1669150917912</v>
      </c>
      <c r="AB165" s="61">
        <f t="shared" si="232"/>
        <v>336.63338301835824</v>
      </c>
      <c r="AC165" s="61">
        <v>2198.7371959322072</v>
      </c>
      <c r="AD165" s="61">
        <v>1350.4399582591086</v>
      </c>
      <c r="AE165" s="61">
        <v>798.60435142466508</v>
      </c>
      <c r="AF165" s="61">
        <v>0</v>
      </c>
      <c r="AG165" s="61">
        <f t="shared" si="233"/>
        <v>464.55406856533432</v>
      </c>
      <c r="AH165" s="64"/>
      <c r="AI165" s="64"/>
      <c r="AJ165" s="67">
        <v>26</v>
      </c>
      <c r="AK165" s="73" t="s">
        <v>66</v>
      </c>
      <c r="AL165" s="67">
        <v>6156</v>
      </c>
      <c r="AM165" s="72" t="s">
        <v>257</v>
      </c>
      <c r="AN165" s="72" t="s">
        <v>253</v>
      </c>
      <c r="AO165" s="138">
        <f t="shared" si="234"/>
        <v>121188.01788660896</v>
      </c>
      <c r="AP165" s="65">
        <f t="shared" si="235"/>
        <v>40396.005962202988</v>
      </c>
      <c r="AQ165" s="65">
        <f t="shared" si="236"/>
        <v>12118.801788660898</v>
      </c>
      <c r="AR165" s="65">
        <f t="shared" si="237"/>
        <v>9429.7275140630536</v>
      </c>
      <c r="AS165" s="65">
        <f t="shared" si="238"/>
        <v>0</v>
      </c>
      <c r="AT165" s="65">
        <f t="shared" si="239"/>
        <v>20198.002981101494</v>
      </c>
      <c r="AU165" s="65">
        <f t="shared" si="240"/>
        <v>4039.6005962202989</v>
      </c>
      <c r="AV165" s="65">
        <f t="shared" si="241"/>
        <v>26384.846351186487</v>
      </c>
      <c r="AW165" s="65">
        <f t="shared" si="242"/>
        <v>16205.279499109303</v>
      </c>
      <c r="AX165" s="65">
        <f t="shared" si="243"/>
        <v>9583.2522170959819</v>
      </c>
      <c r="AY165" s="65">
        <f t="shared" si="244"/>
        <v>0</v>
      </c>
      <c r="AZ165" s="65">
        <f t="shared" si="245"/>
        <v>5574.6488227840118</v>
      </c>
      <c r="BB165" s="64"/>
      <c r="BC165" s="66"/>
      <c r="BD165" s="66"/>
      <c r="BE165" s="66"/>
    </row>
    <row r="166" spans="2:57" ht="21" customHeight="1" x14ac:dyDescent="0.2">
      <c r="B166" s="67">
        <v>27</v>
      </c>
      <c r="C166" s="73" t="s">
        <v>66</v>
      </c>
      <c r="D166" s="67">
        <v>6065</v>
      </c>
      <c r="E166" s="72" t="s">
        <v>258</v>
      </c>
      <c r="F166" s="72" t="s">
        <v>253</v>
      </c>
      <c r="G166" s="55">
        <v>38412</v>
      </c>
      <c r="H166" s="56" t="str">
        <f t="shared" si="220"/>
        <v>19 AÑOS</v>
      </c>
      <c r="I166" s="57">
        <v>6473.7189041991969</v>
      </c>
      <c r="J166" s="58"/>
      <c r="K166" s="58"/>
      <c r="L166" s="59"/>
      <c r="M166" s="60">
        <v>4.0000000000000002E-4</v>
      </c>
      <c r="N166" s="61">
        <f t="shared" si="221"/>
        <v>258.94875616796787</v>
      </c>
      <c r="O166" s="58">
        <f t="shared" si="222"/>
        <v>6732.6676603671649</v>
      </c>
      <c r="P166" s="61">
        <f t="shared" si="223"/>
        <v>13465.33532073433</v>
      </c>
      <c r="Q166" s="61">
        <f t="shared" si="224"/>
        <v>10099.001490550747</v>
      </c>
      <c r="R166" s="61">
        <f t="shared" si="225"/>
        <v>3366.3338301835824</v>
      </c>
      <c r="S166" s="61">
        <f t="shared" si="226"/>
        <v>448.84451069114431</v>
      </c>
      <c r="T166" s="58">
        <f t="shared" si="227"/>
        <v>515.22861382236454</v>
      </c>
      <c r="U166" s="61">
        <f t="shared" si="228"/>
        <v>5049.5007452753734</v>
      </c>
      <c r="V166" s="58">
        <f t="shared" si="229"/>
        <v>1683.1669150917912</v>
      </c>
      <c r="W166" s="101">
        <v>7.4999999999999997E-2</v>
      </c>
      <c r="X166" s="63">
        <f t="shared" si="230"/>
        <v>1009.9001490550747</v>
      </c>
      <c r="Y166" s="61">
        <v>785.81062617192117</v>
      </c>
      <c r="Z166" s="61">
        <v>0</v>
      </c>
      <c r="AA166" s="61">
        <f t="shared" si="231"/>
        <v>1683.1669150917912</v>
      </c>
      <c r="AB166" s="61">
        <f t="shared" si="232"/>
        <v>336.63338301835824</v>
      </c>
      <c r="AC166" s="61">
        <v>2198.7371959322072</v>
      </c>
      <c r="AD166" s="61">
        <v>1350.4399582591086</v>
      </c>
      <c r="AE166" s="61">
        <v>798.60435142466508</v>
      </c>
      <c r="AF166" s="61">
        <v>0</v>
      </c>
      <c r="AG166" s="61">
        <f t="shared" si="233"/>
        <v>464.55406856533432</v>
      </c>
      <c r="AH166" s="64"/>
      <c r="AI166" s="64"/>
      <c r="AJ166" s="67">
        <v>27</v>
      </c>
      <c r="AK166" s="73" t="s">
        <v>66</v>
      </c>
      <c r="AL166" s="67">
        <v>6065</v>
      </c>
      <c r="AM166" s="72" t="s">
        <v>258</v>
      </c>
      <c r="AN166" s="72" t="s">
        <v>253</v>
      </c>
      <c r="AO166" s="138">
        <f t="shared" si="234"/>
        <v>121188.01788660896</v>
      </c>
      <c r="AP166" s="65">
        <f t="shared" si="235"/>
        <v>40396.005962202988</v>
      </c>
      <c r="AQ166" s="65">
        <f t="shared" si="236"/>
        <v>12118.801788660898</v>
      </c>
      <c r="AR166" s="65">
        <f t="shared" si="237"/>
        <v>9429.7275140630536</v>
      </c>
      <c r="AS166" s="65">
        <f t="shared" si="238"/>
        <v>0</v>
      </c>
      <c r="AT166" s="65">
        <f t="shared" si="239"/>
        <v>20198.002981101494</v>
      </c>
      <c r="AU166" s="65">
        <f t="shared" si="240"/>
        <v>4039.6005962202989</v>
      </c>
      <c r="AV166" s="65">
        <f t="shared" si="241"/>
        <v>26384.846351186487</v>
      </c>
      <c r="AW166" s="65">
        <f t="shared" si="242"/>
        <v>16205.279499109303</v>
      </c>
      <c r="AX166" s="65">
        <f t="shared" si="243"/>
        <v>9583.2522170959819</v>
      </c>
      <c r="AY166" s="65">
        <f t="shared" si="244"/>
        <v>0</v>
      </c>
      <c r="AZ166" s="65">
        <f t="shared" si="245"/>
        <v>5574.6488227840118</v>
      </c>
      <c r="BB166" s="64"/>
      <c r="BC166" s="66"/>
      <c r="BD166" s="66"/>
      <c r="BE166" s="66"/>
    </row>
    <row r="167" spans="2:57" ht="21" customHeight="1" x14ac:dyDescent="0.2">
      <c r="B167" s="67">
        <v>28</v>
      </c>
      <c r="C167" s="73" t="s">
        <v>66</v>
      </c>
      <c r="D167" s="67">
        <v>6009</v>
      </c>
      <c r="E167" s="72" t="s">
        <v>259</v>
      </c>
      <c r="F167" s="72" t="s">
        <v>253</v>
      </c>
      <c r="G167" s="55">
        <v>36923</v>
      </c>
      <c r="H167" s="56" t="str">
        <f t="shared" si="220"/>
        <v>23 AÑOS</v>
      </c>
      <c r="I167" s="57">
        <v>6473.7189041991969</v>
      </c>
      <c r="J167" s="58"/>
      <c r="K167" s="58"/>
      <c r="L167" s="59"/>
      <c r="M167" s="60">
        <v>4.0000000000000002E-4</v>
      </c>
      <c r="N167" s="61">
        <f t="shared" si="221"/>
        <v>258.94875616796787</v>
      </c>
      <c r="O167" s="58">
        <f t="shared" si="222"/>
        <v>6732.6676603671649</v>
      </c>
      <c r="P167" s="61">
        <f t="shared" si="223"/>
        <v>13465.33532073433</v>
      </c>
      <c r="Q167" s="61">
        <f t="shared" si="224"/>
        <v>10099.001490550747</v>
      </c>
      <c r="R167" s="61">
        <f t="shared" si="225"/>
        <v>3366.3338301835824</v>
      </c>
      <c r="S167" s="61">
        <f t="shared" si="226"/>
        <v>448.84451069114431</v>
      </c>
      <c r="T167" s="58">
        <f t="shared" si="227"/>
        <v>515.22861382236454</v>
      </c>
      <c r="U167" s="61">
        <f t="shared" si="228"/>
        <v>5049.5007452753734</v>
      </c>
      <c r="V167" s="58">
        <f t="shared" si="229"/>
        <v>1683.1669150917912</v>
      </c>
      <c r="W167" s="101">
        <v>7.4999999999999997E-2</v>
      </c>
      <c r="X167" s="63">
        <f t="shared" si="230"/>
        <v>1009.9001490550747</v>
      </c>
      <c r="Y167" s="61">
        <v>785.81062617192117</v>
      </c>
      <c r="Z167" s="61">
        <v>0</v>
      </c>
      <c r="AA167" s="61">
        <f t="shared" si="231"/>
        <v>1683.1669150917912</v>
      </c>
      <c r="AB167" s="61">
        <f t="shared" si="232"/>
        <v>336.63338301835824</v>
      </c>
      <c r="AC167" s="61">
        <v>2198.7371959322072</v>
      </c>
      <c r="AD167" s="61">
        <v>1350.4399582591086</v>
      </c>
      <c r="AE167" s="61">
        <v>798.60435142466508</v>
      </c>
      <c r="AF167" s="61">
        <v>0</v>
      </c>
      <c r="AG167" s="61">
        <f t="shared" si="233"/>
        <v>464.55406856533432</v>
      </c>
      <c r="AH167" s="64"/>
      <c r="AI167" s="64"/>
      <c r="AJ167" s="67">
        <v>28</v>
      </c>
      <c r="AK167" s="73" t="s">
        <v>66</v>
      </c>
      <c r="AL167" s="67">
        <v>6009</v>
      </c>
      <c r="AM167" s="72" t="s">
        <v>259</v>
      </c>
      <c r="AN167" s="72" t="s">
        <v>253</v>
      </c>
      <c r="AO167" s="138">
        <f t="shared" si="234"/>
        <v>121188.01788660896</v>
      </c>
      <c r="AP167" s="65">
        <f t="shared" si="235"/>
        <v>40396.005962202988</v>
      </c>
      <c r="AQ167" s="65">
        <f t="shared" si="236"/>
        <v>12118.801788660898</v>
      </c>
      <c r="AR167" s="65">
        <f t="shared" si="237"/>
        <v>9429.7275140630536</v>
      </c>
      <c r="AS167" s="65">
        <f t="shared" si="238"/>
        <v>0</v>
      </c>
      <c r="AT167" s="65">
        <f t="shared" si="239"/>
        <v>20198.002981101494</v>
      </c>
      <c r="AU167" s="65">
        <f t="shared" si="240"/>
        <v>4039.6005962202989</v>
      </c>
      <c r="AV167" s="65">
        <f t="shared" si="241"/>
        <v>26384.846351186487</v>
      </c>
      <c r="AW167" s="65">
        <f t="shared" si="242"/>
        <v>16205.279499109303</v>
      </c>
      <c r="AX167" s="65">
        <f t="shared" si="243"/>
        <v>9583.2522170959819</v>
      </c>
      <c r="AY167" s="65">
        <f t="shared" si="244"/>
        <v>0</v>
      </c>
      <c r="AZ167" s="65">
        <f t="shared" si="245"/>
        <v>5574.6488227840118</v>
      </c>
      <c r="BB167" s="64"/>
      <c r="BC167" s="66"/>
      <c r="BD167" s="66"/>
      <c r="BE167" s="66"/>
    </row>
    <row r="168" spans="2:57" ht="21" customHeight="1" x14ac:dyDescent="0.2">
      <c r="B168" s="67">
        <v>29</v>
      </c>
      <c r="C168" s="73" t="s">
        <v>66</v>
      </c>
      <c r="D168" s="67">
        <v>6120</v>
      </c>
      <c r="E168" s="72" t="s">
        <v>260</v>
      </c>
      <c r="F168" s="72" t="s">
        <v>253</v>
      </c>
      <c r="G168" s="55">
        <v>41821</v>
      </c>
      <c r="H168" s="56" t="str">
        <f t="shared" si="220"/>
        <v>10 AÑOS</v>
      </c>
      <c r="I168" s="57">
        <v>6473.7189041991969</v>
      </c>
      <c r="J168" s="58"/>
      <c r="K168" s="58"/>
      <c r="L168" s="59"/>
      <c r="M168" s="60">
        <v>4.0000000000000002E-4</v>
      </c>
      <c r="N168" s="61">
        <f t="shared" si="221"/>
        <v>258.94875616796787</v>
      </c>
      <c r="O168" s="58">
        <f t="shared" si="222"/>
        <v>6732.6676603671649</v>
      </c>
      <c r="P168" s="61">
        <f t="shared" si="223"/>
        <v>13465.33532073433</v>
      </c>
      <c r="Q168" s="61">
        <f t="shared" si="224"/>
        <v>10099.001490550747</v>
      </c>
      <c r="R168" s="61">
        <f t="shared" si="225"/>
        <v>3366.3338301835824</v>
      </c>
      <c r="S168" s="61">
        <f t="shared" si="226"/>
        <v>448.84451069114431</v>
      </c>
      <c r="T168" s="58">
        <f t="shared" si="227"/>
        <v>515.22861382236454</v>
      </c>
      <c r="U168" s="61">
        <f t="shared" si="228"/>
        <v>5049.5007452753734</v>
      </c>
      <c r="V168" s="58">
        <f t="shared" si="229"/>
        <v>1683.1669150917912</v>
      </c>
      <c r="W168" s="101">
        <v>0.05</v>
      </c>
      <c r="X168" s="63">
        <f t="shared" si="230"/>
        <v>673.26676603671649</v>
      </c>
      <c r="Y168" s="61">
        <v>785.81062617192117</v>
      </c>
      <c r="Z168" s="61">
        <v>0</v>
      </c>
      <c r="AA168" s="61">
        <f t="shared" si="231"/>
        <v>1683.1669150917912</v>
      </c>
      <c r="AB168" s="61">
        <f t="shared" si="232"/>
        <v>336.63338301835824</v>
      </c>
      <c r="AC168" s="61">
        <v>2198.7371959322072</v>
      </c>
      <c r="AD168" s="61">
        <v>1350.4399582591086</v>
      </c>
      <c r="AE168" s="61">
        <v>798.60435142466508</v>
      </c>
      <c r="AF168" s="61">
        <v>0</v>
      </c>
      <c r="AG168" s="61">
        <f t="shared" si="233"/>
        <v>464.55406856533432</v>
      </c>
      <c r="AH168" s="64"/>
      <c r="AI168" s="64"/>
      <c r="AJ168" s="67">
        <v>29</v>
      </c>
      <c r="AK168" s="73" t="s">
        <v>66</v>
      </c>
      <c r="AL168" s="67">
        <v>6120</v>
      </c>
      <c r="AM168" s="72" t="s">
        <v>260</v>
      </c>
      <c r="AN168" s="72" t="s">
        <v>253</v>
      </c>
      <c r="AO168" s="138">
        <f t="shared" si="234"/>
        <v>121188.01788660896</v>
      </c>
      <c r="AP168" s="65">
        <f t="shared" si="235"/>
        <v>40396.005962202988</v>
      </c>
      <c r="AQ168" s="65">
        <f t="shared" si="236"/>
        <v>8079.2011924405979</v>
      </c>
      <c r="AR168" s="65">
        <f t="shared" si="237"/>
        <v>9429.7275140630536</v>
      </c>
      <c r="AS168" s="65">
        <f t="shared" si="238"/>
        <v>0</v>
      </c>
      <c r="AT168" s="65">
        <f t="shared" si="239"/>
        <v>20198.002981101494</v>
      </c>
      <c r="AU168" s="65">
        <f t="shared" si="240"/>
        <v>4039.6005962202989</v>
      </c>
      <c r="AV168" s="65">
        <f t="shared" si="241"/>
        <v>26384.846351186487</v>
      </c>
      <c r="AW168" s="65">
        <f t="shared" si="242"/>
        <v>16205.279499109303</v>
      </c>
      <c r="AX168" s="65">
        <f t="shared" si="243"/>
        <v>9583.2522170959819</v>
      </c>
      <c r="AY168" s="65">
        <f t="shared" si="244"/>
        <v>0</v>
      </c>
      <c r="AZ168" s="65">
        <f t="shared" si="245"/>
        <v>5574.6488227840118</v>
      </c>
      <c r="BB168" s="64"/>
      <c r="BC168" s="66"/>
      <c r="BD168" s="66"/>
      <c r="BE168" s="66"/>
    </row>
    <row r="169" spans="2:57" ht="21" customHeight="1" x14ac:dyDescent="0.2">
      <c r="B169" s="67">
        <v>30</v>
      </c>
      <c r="C169" s="73" t="s">
        <v>66</v>
      </c>
      <c r="D169" s="127">
        <v>6170</v>
      </c>
      <c r="E169" s="104" t="s">
        <v>261</v>
      </c>
      <c r="F169" s="192" t="s">
        <v>262</v>
      </c>
      <c r="G169" s="55">
        <v>45551</v>
      </c>
      <c r="H169" s="56" t="str">
        <f t="shared" si="220"/>
        <v>0 AÑOS</v>
      </c>
      <c r="I169" s="57">
        <v>6000.003171237262</v>
      </c>
      <c r="J169" s="58"/>
      <c r="K169" s="58"/>
      <c r="L169" s="59"/>
      <c r="M169" s="60">
        <v>4.0000000000000002E-4</v>
      </c>
      <c r="N169" s="61">
        <f t="shared" si="221"/>
        <v>240.00012684949047</v>
      </c>
      <c r="O169" s="58">
        <f t="shared" si="222"/>
        <v>6240.0032980867527</v>
      </c>
      <c r="P169" s="61">
        <f t="shared" si="223"/>
        <v>12480.006596173505</v>
      </c>
      <c r="Q169" s="61">
        <f t="shared" si="224"/>
        <v>9360.0049471301281</v>
      </c>
      <c r="R169" s="61">
        <f t="shared" si="225"/>
        <v>3120.0016490433763</v>
      </c>
      <c r="S169" s="61">
        <f t="shared" si="226"/>
        <v>416.0002198724502</v>
      </c>
      <c r="T169" s="58">
        <f t="shared" si="227"/>
        <v>477.52665239158557</v>
      </c>
      <c r="U169" s="61">
        <f t="shared" si="228"/>
        <v>4680.0024735650641</v>
      </c>
      <c r="V169" s="58">
        <f t="shared" si="229"/>
        <v>1560.0008245216882</v>
      </c>
      <c r="W169" s="101">
        <v>2.5000000000000001E-2</v>
      </c>
      <c r="X169" s="63">
        <f t="shared" si="230"/>
        <v>312.00016490433768</v>
      </c>
      <c r="Y169" s="61">
        <v>705.4078022477579</v>
      </c>
      <c r="Z169" s="61">
        <v>0</v>
      </c>
      <c r="AA169" s="61">
        <f t="shared" si="231"/>
        <v>1560.0008245216884</v>
      </c>
      <c r="AB169" s="61">
        <f t="shared" si="232"/>
        <v>312.00016490433762</v>
      </c>
      <c r="AC169" s="61">
        <v>2077.9734664332696</v>
      </c>
      <c r="AD169" s="61">
        <v>1251.6212322509652</v>
      </c>
      <c r="AE169" s="61">
        <v>740.16631120695774</v>
      </c>
      <c r="AF169" s="61">
        <v>0</v>
      </c>
      <c r="AG169" s="61">
        <f t="shared" si="233"/>
        <v>430.56022756798592</v>
      </c>
      <c r="AH169" s="64"/>
      <c r="AI169" s="64"/>
      <c r="AJ169" s="67">
        <v>30</v>
      </c>
      <c r="AK169" s="73" t="s">
        <v>66</v>
      </c>
      <c r="AL169" s="127">
        <v>6170</v>
      </c>
      <c r="AM169" s="104" t="s">
        <v>261</v>
      </c>
      <c r="AN169" s="192" t="s">
        <v>262</v>
      </c>
      <c r="AO169" s="138">
        <f t="shared" si="234"/>
        <v>112320.05936556154</v>
      </c>
      <c r="AP169" s="65">
        <f t="shared" si="235"/>
        <v>37440.019788520513</v>
      </c>
      <c r="AQ169" s="65">
        <f t="shared" si="236"/>
        <v>3744.0019788520522</v>
      </c>
      <c r="AR169" s="65">
        <f t="shared" si="237"/>
        <v>8464.8936269730948</v>
      </c>
      <c r="AS169" s="65">
        <f t="shared" si="238"/>
        <v>0</v>
      </c>
      <c r="AT169" s="65">
        <f t="shared" si="239"/>
        <v>18720.00989426026</v>
      </c>
      <c r="AU169" s="65">
        <f t="shared" si="240"/>
        <v>3744.0019788520513</v>
      </c>
      <c r="AV169" s="65">
        <f t="shared" si="241"/>
        <v>24935.681597199233</v>
      </c>
      <c r="AW169" s="65">
        <f t="shared" si="242"/>
        <v>15019.454787011582</v>
      </c>
      <c r="AX169" s="65">
        <f t="shared" si="243"/>
        <v>8881.9957344834929</v>
      </c>
      <c r="AY169" s="65">
        <f t="shared" si="244"/>
        <v>0</v>
      </c>
      <c r="AZ169" s="65">
        <f t="shared" si="245"/>
        <v>5166.7227308158308</v>
      </c>
      <c r="BB169" s="64"/>
      <c r="BC169" s="66"/>
      <c r="BD169" s="66"/>
      <c r="BE169" s="66"/>
    </row>
    <row r="170" spans="2:57" ht="21" customHeight="1" x14ac:dyDescent="0.2">
      <c r="B170" s="67">
        <v>31</v>
      </c>
      <c r="C170" s="73" t="s">
        <v>66</v>
      </c>
      <c r="D170" s="67">
        <v>21019</v>
      </c>
      <c r="E170" s="193" t="s">
        <v>263</v>
      </c>
      <c r="F170" s="72" t="s">
        <v>264</v>
      </c>
      <c r="G170" s="157">
        <v>45352</v>
      </c>
      <c r="H170" s="56" t="str">
        <f t="shared" si="220"/>
        <v>0 AÑOS</v>
      </c>
      <c r="I170" s="57">
        <v>4543.1263392468836</v>
      </c>
      <c r="J170" s="58"/>
      <c r="K170" s="58"/>
      <c r="L170" s="59"/>
      <c r="M170" s="60">
        <v>4.0000000000000002E-4</v>
      </c>
      <c r="N170" s="61">
        <f t="shared" si="221"/>
        <v>181.72505356987534</v>
      </c>
      <c r="O170" s="58">
        <f t="shared" si="222"/>
        <v>4724.8513928167586</v>
      </c>
      <c r="P170" s="61">
        <f t="shared" si="223"/>
        <v>9449.7027856335171</v>
      </c>
      <c r="Q170" s="61">
        <f t="shared" si="224"/>
        <v>7087.2770892251374</v>
      </c>
      <c r="R170" s="61">
        <f t="shared" si="225"/>
        <v>2362.4256964083793</v>
      </c>
      <c r="S170" s="61">
        <f t="shared" si="226"/>
        <v>314.99009285445055</v>
      </c>
      <c r="T170" s="58">
        <f t="shared" si="227"/>
        <v>361.57712758762375</v>
      </c>
      <c r="U170" s="61">
        <f t="shared" si="228"/>
        <v>3543.6385446125687</v>
      </c>
      <c r="V170" s="58">
        <f t="shared" si="229"/>
        <v>1181.2128482041896</v>
      </c>
      <c r="W170" s="101">
        <v>7.4999999999999997E-2</v>
      </c>
      <c r="X170" s="63">
        <f t="shared" si="230"/>
        <v>708.72770892251378</v>
      </c>
      <c r="Y170" s="61">
        <v>243.33501130769486</v>
      </c>
      <c r="Z170" s="61">
        <v>0</v>
      </c>
      <c r="AA170" s="61">
        <f t="shared" si="231"/>
        <v>1181.2128482041896</v>
      </c>
      <c r="AB170" s="61">
        <f t="shared" si="232"/>
        <v>236.24256964083793</v>
      </c>
      <c r="AC170" s="61">
        <v>1706.5737695059697</v>
      </c>
      <c r="AD170" s="61">
        <v>883.8210518188082</v>
      </c>
      <c r="AE170" s="61">
        <v>560.44454776081682</v>
      </c>
      <c r="AF170" s="61">
        <v>0</v>
      </c>
      <c r="AG170" s="61">
        <f t="shared" si="233"/>
        <v>326.01474610435633</v>
      </c>
      <c r="AH170" s="64"/>
      <c r="AI170" s="64"/>
      <c r="AJ170" s="67">
        <v>31</v>
      </c>
      <c r="AK170" s="73" t="s">
        <v>66</v>
      </c>
      <c r="AL170" s="67">
        <v>21019</v>
      </c>
      <c r="AM170" s="193" t="s">
        <v>263</v>
      </c>
      <c r="AN170" s="72" t="s">
        <v>264</v>
      </c>
      <c r="AO170" s="138">
        <f t="shared" si="234"/>
        <v>85047.325070701656</v>
      </c>
      <c r="AP170" s="65">
        <f t="shared" si="235"/>
        <v>28349.10835690055</v>
      </c>
      <c r="AQ170" s="65">
        <f t="shared" si="236"/>
        <v>8504.7325070701663</v>
      </c>
      <c r="AR170" s="65">
        <f t="shared" si="237"/>
        <v>2920.020135692338</v>
      </c>
      <c r="AS170" s="65">
        <f t="shared" si="238"/>
        <v>0</v>
      </c>
      <c r="AT170" s="65">
        <f t="shared" si="239"/>
        <v>14174.554178450275</v>
      </c>
      <c r="AU170" s="65">
        <f t="shared" si="240"/>
        <v>2834.9108356900551</v>
      </c>
      <c r="AV170" s="65">
        <f t="shared" si="241"/>
        <v>20478.885234071637</v>
      </c>
      <c r="AW170" s="65">
        <f t="shared" si="242"/>
        <v>10605.852621825699</v>
      </c>
      <c r="AX170" s="65">
        <f t="shared" si="243"/>
        <v>6725.3345731298014</v>
      </c>
      <c r="AY170" s="65">
        <f t="shared" si="244"/>
        <v>0</v>
      </c>
      <c r="AZ170" s="65">
        <f t="shared" si="245"/>
        <v>3912.1769532522758</v>
      </c>
      <c r="BB170" s="64"/>
      <c r="BC170" s="66"/>
      <c r="BD170" s="66"/>
      <c r="BE170" s="66"/>
    </row>
    <row r="171" spans="2:57" ht="21" customHeight="1" x14ac:dyDescent="0.2">
      <c r="B171" s="67">
        <v>32</v>
      </c>
      <c r="C171" s="73" t="s">
        <v>66</v>
      </c>
      <c r="D171" s="67">
        <v>12078</v>
      </c>
      <c r="E171" s="72" t="s">
        <v>265</v>
      </c>
      <c r="F171" s="72" t="s">
        <v>266</v>
      </c>
      <c r="G171" s="169">
        <v>43132</v>
      </c>
      <c r="H171" s="56" t="str">
        <f t="shared" si="220"/>
        <v>6 AÑOS</v>
      </c>
      <c r="I171" s="57">
        <v>4409.1802403020829</v>
      </c>
      <c r="J171" s="58"/>
      <c r="K171" s="58"/>
      <c r="L171" s="59"/>
      <c r="M171" s="60">
        <v>4.0000000000000002E-4</v>
      </c>
      <c r="N171" s="61">
        <f t="shared" si="221"/>
        <v>176.36720961208331</v>
      </c>
      <c r="O171" s="58">
        <f t="shared" si="222"/>
        <v>4585.5474499141665</v>
      </c>
      <c r="P171" s="61">
        <f t="shared" si="223"/>
        <v>9171.0948998283329</v>
      </c>
      <c r="Q171" s="61">
        <f t="shared" si="224"/>
        <v>6878.3211748712492</v>
      </c>
      <c r="R171" s="61">
        <f t="shared" si="225"/>
        <v>2292.7737249570832</v>
      </c>
      <c r="S171" s="61">
        <f t="shared" si="226"/>
        <v>305.70316332761109</v>
      </c>
      <c r="T171" s="58">
        <f t="shared" si="227"/>
        <v>350.91666118376475</v>
      </c>
      <c r="U171" s="61">
        <f t="shared" si="228"/>
        <v>3439.1605874356246</v>
      </c>
      <c r="V171" s="58">
        <f t="shared" si="229"/>
        <v>1146.3868624785416</v>
      </c>
      <c r="W171" s="101">
        <v>2.5000000000000001E-2</v>
      </c>
      <c r="X171" s="63">
        <f t="shared" si="230"/>
        <v>229.27737249570833</v>
      </c>
      <c r="Y171" s="61">
        <v>185.20060782599188</v>
      </c>
      <c r="Z171" s="61">
        <v>0</v>
      </c>
      <c r="AA171" s="61">
        <f t="shared" si="231"/>
        <v>1146.3868624785416</v>
      </c>
      <c r="AB171" s="61">
        <f t="shared" si="232"/>
        <v>229.27737249570831</v>
      </c>
      <c r="AC171" s="61">
        <v>1672.4270664626331</v>
      </c>
      <c r="AD171" s="61">
        <v>857.76314076453536</v>
      </c>
      <c r="AE171" s="61">
        <v>543.92082483483534</v>
      </c>
      <c r="AF171" s="61">
        <v>0</v>
      </c>
      <c r="AG171" s="61">
        <f t="shared" si="233"/>
        <v>316.40277404407743</v>
      </c>
      <c r="AH171" s="64"/>
      <c r="AI171" s="64"/>
      <c r="AJ171" s="67">
        <v>32</v>
      </c>
      <c r="AK171" s="73" t="s">
        <v>66</v>
      </c>
      <c r="AL171" s="67">
        <v>12078</v>
      </c>
      <c r="AM171" s="72" t="s">
        <v>265</v>
      </c>
      <c r="AN171" s="72" t="s">
        <v>266</v>
      </c>
      <c r="AO171" s="138">
        <f t="shared" si="234"/>
        <v>82539.854098454991</v>
      </c>
      <c r="AP171" s="65">
        <f t="shared" si="235"/>
        <v>27513.284699484997</v>
      </c>
      <c r="AQ171" s="65">
        <f t="shared" si="236"/>
        <v>2751.3284699485002</v>
      </c>
      <c r="AR171" s="65">
        <f t="shared" si="237"/>
        <v>2222.4072939119023</v>
      </c>
      <c r="AS171" s="65">
        <f t="shared" si="238"/>
        <v>0</v>
      </c>
      <c r="AT171" s="65">
        <f t="shared" si="239"/>
        <v>13756.642349742498</v>
      </c>
      <c r="AU171" s="65">
        <f t="shared" si="240"/>
        <v>2751.3284699484998</v>
      </c>
      <c r="AV171" s="65">
        <f t="shared" si="241"/>
        <v>20069.124797551598</v>
      </c>
      <c r="AW171" s="65">
        <f t="shared" si="242"/>
        <v>10293.157689174424</v>
      </c>
      <c r="AX171" s="65">
        <f t="shared" si="243"/>
        <v>6527.0498980180237</v>
      </c>
      <c r="AY171" s="65">
        <f t="shared" si="244"/>
        <v>0</v>
      </c>
      <c r="AZ171" s="65">
        <f t="shared" si="245"/>
        <v>3796.8332885289292</v>
      </c>
      <c r="BB171" s="64"/>
      <c r="BC171" s="66"/>
      <c r="BD171" s="66"/>
      <c r="BE171" s="66"/>
    </row>
    <row r="172" spans="2:57" ht="21" customHeight="1" x14ac:dyDescent="0.2">
      <c r="B172" s="67">
        <v>33</v>
      </c>
      <c r="C172" s="73" t="s">
        <v>66</v>
      </c>
      <c r="D172" s="67">
        <v>14061</v>
      </c>
      <c r="E172" s="72" t="s">
        <v>267</v>
      </c>
      <c r="F172" s="72" t="s">
        <v>268</v>
      </c>
      <c r="G172" s="55">
        <v>40151</v>
      </c>
      <c r="H172" s="56" t="str">
        <f t="shared" si="220"/>
        <v>15 AÑOS</v>
      </c>
      <c r="I172" s="57">
        <v>4455.5569069977901</v>
      </c>
      <c r="J172" s="58"/>
      <c r="K172" s="58"/>
      <c r="L172" s="59"/>
      <c r="M172" s="60">
        <v>4.0000000000000002E-4</v>
      </c>
      <c r="N172" s="61">
        <f t="shared" si="221"/>
        <v>178.2222762799116</v>
      </c>
      <c r="O172" s="58">
        <f t="shared" si="222"/>
        <v>4633.779183277702</v>
      </c>
      <c r="P172" s="61">
        <f t="shared" si="223"/>
        <v>9267.5583665554041</v>
      </c>
      <c r="Q172" s="61">
        <f t="shared" si="224"/>
        <v>6950.668774916553</v>
      </c>
      <c r="R172" s="61">
        <f t="shared" si="225"/>
        <v>2316.889591638851</v>
      </c>
      <c r="S172" s="61">
        <f t="shared" si="226"/>
        <v>308.91861221851349</v>
      </c>
      <c r="T172" s="58">
        <f t="shared" si="227"/>
        <v>354.60767496563159</v>
      </c>
      <c r="U172" s="61">
        <f t="shared" si="228"/>
        <v>3475.3343874582765</v>
      </c>
      <c r="V172" s="58">
        <f t="shared" si="229"/>
        <v>1158.4447958194255</v>
      </c>
      <c r="W172" s="101">
        <v>7.4999999999999997E-2</v>
      </c>
      <c r="X172" s="63">
        <f t="shared" si="230"/>
        <v>695.0668774916553</v>
      </c>
      <c r="Y172" s="61">
        <v>193.07202671092091</v>
      </c>
      <c r="Z172" s="61">
        <v>0</v>
      </c>
      <c r="AA172" s="61">
        <f t="shared" si="231"/>
        <v>1158.4447958194255</v>
      </c>
      <c r="AB172" s="61">
        <f t="shared" si="232"/>
        <v>231.68895916388513</v>
      </c>
      <c r="AC172" s="61">
        <v>1684.2498091798416</v>
      </c>
      <c r="AD172" s="61">
        <v>866.78527030224166</v>
      </c>
      <c r="AE172" s="61">
        <v>549.64189619672902</v>
      </c>
      <c r="AF172" s="61">
        <v>0</v>
      </c>
      <c r="AG172" s="61">
        <f t="shared" si="233"/>
        <v>319.73076364616139</v>
      </c>
      <c r="AH172" s="64"/>
      <c r="AI172" s="64"/>
      <c r="AJ172" s="67">
        <v>33</v>
      </c>
      <c r="AK172" s="73" t="s">
        <v>66</v>
      </c>
      <c r="AL172" s="67">
        <v>14061</v>
      </c>
      <c r="AM172" s="72" t="s">
        <v>267</v>
      </c>
      <c r="AN172" s="72" t="s">
        <v>268</v>
      </c>
      <c r="AO172" s="138">
        <f t="shared" si="234"/>
        <v>83408.025298998633</v>
      </c>
      <c r="AP172" s="65">
        <f t="shared" si="235"/>
        <v>27802.675099666212</v>
      </c>
      <c r="AQ172" s="65">
        <f t="shared" si="236"/>
        <v>8340.8025298998637</v>
      </c>
      <c r="AR172" s="65">
        <f t="shared" si="237"/>
        <v>2316.8643205310509</v>
      </c>
      <c r="AS172" s="65">
        <f t="shared" si="238"/>
        <v>0</v>
      </c>
      <c r="AT172" s="65">
        <f t="shared" si="239"/>
        <v>13901.337549833106</v>
      </c>
      <c r="AU172" s="65">
        <f t="shared" si="240"/>
        <v>2780.2675099666217</v>
      </c>
      <c r="AV172" s="65">
        <f t="shared" si="241"/>
        <v>20210.997710158099</v>
      </c>
      <c r="AW172" s="65">
        <f t="shared" si="242"/>
        <v>10401.423243626899</v>
      </c>
      <c r="AX172" s="65">
        <f t="shared" si="243"/>
        <v>6595.7027543607483</v>
      </c>
      <c r="AY172" s="65">
        <f t="shared" si="244"/>
        <v>0</v>
      </c>
      <c r="AZ172" s="65">
        <f t="shared" si="245"/>
        <v>3836.7691637539365</v>
      </c>
      <c r="BB172" s="64"/>
      <c r="BC172" s="66"/>
      <c r="BD172" s="66"/>
      <c r="BE172" s="66"/>
    </row>
    <row r="173" spans="2:57" ht="21" customHeight="1" x14ac:dyDescent="0.2">
      <c r="B173" s="67">
        <v>34</v>
      </c>
      <c r="C173" s="73" t="s">
        <v>66</v>
      </c>
      <c r="D173" s="67">
        <v>16335</v>
      </c>
      <c r="E173" s="72" t="s">
        <v>269</v>
      </c>
      <c r="F173" s="72" t="s">
        <v>270</v>
      </c>
      <c r="G173" s="55">
        <v>41355</v>
      </c>
      <c r="H173" s="56" t="str">
        <f t="shared" si="220"/>
        <v>11 AÑOS</v>
      </c>
      <c r="I173" s="57">
        <v>6040.395273628983</v>
      </c>
      <c r="J173" s="58"/>
      <c r="K173" s="58"/>
      <c r="L173" s="59"/>
      <c r="M173" s="60">
        <v>4.0000000000000002E-4</v>
      </c>
      <c r="N173" s="61">
        <f t="shared" si="221"/>
        <v>241.61581094515932</v>
      </c>
      <c r="O173" s="58">
        <f t="shared" si="222"/>
        <v>6282.0110845741419</v>
      </c>
      <c r="P173" s="61">
        <f t="shared" si="223"/>
        <v>12564.022169148284</v>
      </c>
      <c r="Q173" s="61">
        <f t="shared" si="224"/>
        <v>9423.016626861212</v>
      </c>
      <c r="R173" s="61">
        <f t="shared" si="225"/>
        <v>3141.005542287071</v>
      </c>
      <c r="S173" s="61">
        <f t="shared" si="226"/>
        <v>418.80073897160946</v>
      </c>
      <c r="T173" s="58">
        <f t="shared" si="227"/>
        <v>480.74136826551046</v>
      </c>
      <c r="U173" s="61">
        <f t="shared" si="228"/>
        <v>4711.508313430606</v>
      </c>
      <c r="V173" s="58">
        <f t="shared" si="229"/>
        <v>1570.5027711435355</v>
      </c>
      <c r="W173" s="101">
        <v>0.05</v>
      </c>
      <c r="X173" s="63">
        <f t="shared" si="230"/>
        <v>628.20110845741419</v>
      </c>
      <c r="Y173" s="61">
        <v>712.26347300249972</v>
      </c>
      <c r="Z173" s="61">
        <v>0</v>
      </c>
      <c r="AA173" s="61">
        <f t="shared" si="231"/>
        <v>1570.5027711435353</v>
      </c>
      <c r="AB173" s="61">
        <f t="shared" si="232"/>
        <v>314.1005542287071</v>
      </c>
      <c r="AC173" s="61">
        <v>2088.270572034191</v>
      </c>
      <c r="AD173" s="61">
        <v>1260.0471632923163</v>
      </c>
      <c r="AE173" s="61">
        <v>745.14912081154125</v>
      </c>
      <c r="AF173" s="61">
        <v>0</v>
      </c>
      <c r="AG173" s="61">
        <f t="shared" si="233"/>
        <v>433.4587648356158</v>
      </c>
      <c r="AH173" s="64"/>
      <c r="AI173" s="64"/>
      <c r="AJ173" s="67">
        <v>34</v>
      </c>
      <c r="AK173" s="73" t="s">
        <v>66</v>
      </c>
      <c r="AL173" s="67">
        <v>16335</v>
      </c>
      <c r="AM173" s="72" t="s">
        <v>269</v>
      </c>
      <c r="AN173" s="72" t="s">
        <v>270</v>
      </c>
      <c r="AO173" s="138">
        <f t="shared" si="234"/>
        <v>113076.19952233454</v>
      </c>
      <c r="AP173" s="65">
        <f t="shared" si="235"/>
        <v>37692.066507444848</v>
      </c>
      <c r="AQ173" s="65">
        <f t="shared" si="236"/>
        <v>7538.4133014889703</v>
      </c>
      <c r="AR173" s="65">
        <f t="shared" si="237"/>
        <v>8547.1616760299967</v>
      </c>
      <c r="AS173" s="65">
        <f t="shared" si="238"/>
        <v>0</v>
      </c>
      <c r="AT173" s="65">
        <f t="shared" si="239"/>
        <v>18846.033253722424</v>
      </c>
      <c r="AU173" s="65">
        <f t="shared" si="240"/>
        <v>3769.2066507444852</v>
      </c>
      <c r="AV173" s="65">
        <f t="shared" si="241"/>
        <v>25059.246864410292</v>
      </c>
      <c r="AW173" s="65">
        <f t="shared" si="242"/>
        <v>15120.565959507796</v>
      </c>
      <c r="AX173" s="65">
        <f t="shared" si="243"/>
        <v>8941.789449738495</v>
      </c>
      <c r="AY173" s="65">
        <f t="shared" si="244"/>
        <v>0</v>
      </c>
      <c r="AZ173" s="65">
        <f t="shared" si="245"/>
        <v>5201.5051780273898</v>
      </c>
      <c r="BB173" s="64"/>
      <c r="BC173" s="66"/>
      <c r="BD173" s="66"/>
      <c r="BE173" s="66"/>
    </row>
    <row r="174" spans="2:57" ht="21" customHeight="1" x14ac:dyDescent="0.2">
      <c r="B174" s="67">
        <v>35</v>
      </c>
      <c r="C174" s="73" t="s">
        <v>66</v>
      </c>
      <c r="D174" s="67">
        <v>11098</v>
      </c>
      <c r="E174" s="72" t="s">
        <v>271</v>
      </c>
      <c r="F174" s="72" t="s">
        <v>272</v>
      </c>
      <c r="G174" s="55">
        <v>38657</v>
      </c>
      <c r="H174" s="56" t="str">
        <f t="shared" si="220"/>
        <v>19 AÑOS</v>
      </c>
      <c r="I174" s="57">
        <v>4663.8913718766362</v>
      </c>
      <c r="J174" s="58"/>
      <c r="K174" s="58"/>
      <c r="L174" s="59"/>
      <c r="M174" s="60">
        <v>4.0000000000000002E-4</v>
      </c>
      <c r="N174" s="61">
        <f t="shared" si="221"/>
        <v>186.55565487506544</v>
      </c>
      <c r="O174" s="58">
        <f t="shared" si="222"/>
        <v>4850.4470267517017</v>
      </c>
      <c r="P174" s="61">
        <f t="shared" si="223"/>
        <v>9700.8940535034035</v>
      </c>
      <c r="Q174" s="61">
        <f t="shared" si="224"/>
        <v>7275.6705401275522</v>
      </c>
      <c r="R174" s="61">
        <f t="shared" si="225"/>
        <v>2425.2235133758509</v>
      </c>
      <c r="S174" s="61">
        <f t="shared" si="226"/>
        <v>323.36313511678014</v>
      </c>
      <c r="T174" s="58">
        <f t="shared" si="227"/>
        <v>371.18854280055189</v>
      </c>
      <c r="U174" s="61">
        <f t="shared" si="228"/>
        <v>3637.8352700637761</v>
      </c>
      <c r="V174" s="58">
        <f t="shared" si="229"/>
        <v>1212.6117566879254</v>
      </c>
      <c r="W174" s="101">
        <v>7.4999999999999997E-2</v>
      </c>
      <c r="X174" s="63">
        <f t="shared" si="230"/>
        <v>727.56705401275519</v>
      </c>
      <c r="Y174" s="61">
        <v>263.8322187658776</v>
      </c>
      <c r="Z174" s="61">
        <v>0</v>
      </c>
      <c r="AA174" s="61">
        <f t="shared" si="231"/>
        <v>1212.6117566879254</v>
      </c>
      <c r="AB174" s="61">
        <f t="shared" si="232"/>
        <v>242.52235133758509</v>
      </c>
      <c r="AC174" s="61">
        <v>1737.3602406291525</v>
      </c>
      <c r="AD174" s="61">
        <v>921.12292838670953</v>
      </c>
      <c r="AE174" s="61">
        <v>575.34224134085548</v>
      </c>
      <c r="AF174" s="61">
        <v>0</v>
      </c>
      <c r="AG174" s="61">
        <f t="shared" si="233"/>
        <v>334.68084484586745</v>
      </c>
      <c r="AH174" s="64"/>
      <c r="AI174" s="64"/>
      <c r="AJ174" s="67">
        <v>35</v>
      </c>
      <c r="AK174" s="73" t="s">
        <v>66</v>
      </c>
      <c r="AL174" s="67">
        <v>11098</v>
      </c>
      <c r="AM174" s="72" t="s">
        <v>271</v>
      </c>
      <c r="AN174" s="72" t="s">
        <v>272</v>
      </c>
      <c r="AO174" s="138">
        <f t="shared" si="234"/>
        <v>87308.046481530619</v>
      </c>
      <c r="AP174" s="65">
        <f t="shared" si="235"/>
        <v>29102.682160510209</v>
      </c>
      <c r="AQ174" s="65">
        <f t="shared" si="236"/>
        <v>8730.8046481530619</v>
      </c>
      <c r="AR174" s="65">
        <f t="shared" si="237"/>
        <v>3165.9866251905314</v>
      </c>
      <c r="AS174" s="65">
        <f t="shared" si="238"/>
        <v>0</v>
      </c>
      <c r="AT174" s="65">
        <f t="shared" si="239"/>
        <v>14551.341080255104</v>
      </c>
      <c r="AU174" s="65">
        <f t="shared" si="240"/>
        <v>2910.2682160510212</v>
      </c>
      <c r="AV174" s="65">
        <f t="shared" si="241"/>
        <v>20848.322887549832</v>
      </c>
      <c r="AW174" s="65">
        <f t="shared" si="242"/>
        <v>11053.475140640514</v>
      </c>
      <c r="AX174" s="65">
        <f t="shared" si="243"/>
        <v>6904.1068960902658</v>
      </c>
      <c r="AY174" s="65">
        <f t="shared" si="244"/>
        <v>0</v>
      </c>
      <c r="AZ174" s="65">
        <f t="shared" si="245"/>
        <v>4016.1701381504095</v>
      </c>
      <c r="BB174" s="64"/>
      <c r="BC174" s="66"/>
      <c r="BD174" s="66"/>
      <c r="BE174" s="66"/>
    </row>
    <row r="175" spans="2:57" ht="21" customHeight="1" x14ac:dyDescent="0.2">
      <c r="B175" s="67">
        <v>36</v>
      </c>
      <c r="C175" s="73" t="s">
        <v>66</v>
      </c>
      <c r="D175" s="67">
        <v>6115</v>
      </c>
      <c r="E175" s="72" t="s">
        <v>273</v>
      </c>
      <c r="F175" s="72" t="s">
        <v>274</v>
      </c>
      <c r="G175" s="55">
        <v>41428</v>
      </c>
      <c r="H175" s="55" t="str">
        <f t="shared" si="220"/>
        <v>11 AÑOS</v>
      </c>
      <c r="I175" s="57">
        <v>5129.1478084036989</v>
      </c>
      <c r="J175" s="57"/>
      <c r="K175" s="57"/>
      <c r="L175" s="74"/>
      <c r="M175" s="171">
        <v>4.0000000000000002E-4</v>
      </c>
      <c r="N175" s="81">
        <f t="shared" si="221"/>
        <v>205.16591233614795</v>
      </c>
      <c r="O175" s="57">
        <f t="shared" si="222"/>
        <v>5334.3137207398468</v>
      </c>
      <c r="P175" s="81">
        <f t="shared" si="223"/>
        <v>10668.627441479694</v>
      </c>
      <c r="Q175" s="81">
        <f t="shared" si="224"/>
        <v>8001.4705811097701</v>
      </c>
      <c r="R175" s="81">
        <f t="shared" si="225"/>
        <v>2667.1568603699234</v>
      </c>
      <c r="S175" s="81">
        <f t="shared" si="226"/>
        <v>355.62091471598978</v>
      </c>
      <c r="T175" s="57">
        <f t="shared" si="227"/>
        <v>408.21724800248467</v>
      </c>
      <c r="U175" s="81">
        <f t="shared" si="228"/>
        <v>4000.7352905548851</v>
      </c>
      <c r="V175" s="57">
        <f t="shared" si="229"/>
        <v>1333.5784301849617</v>
      </c>
      <c r="W175" s="101">
        <v>0.05</v>
      </c>
      <c r="X175" s="158">
        <f t="shared" si="230"/>
        <v>533.43137207398468</v>
      </c>
      <c r="Y175" s="81">
        <v>557.59926322474291</v>
      </c>
      <c r="Z175" s="81">
        <v>0</v>
      </c>
      <c r="AA175" s="81">
        <f t="shared" si="231"/>
        <v>1333.5784301849617</v>
      </c>
      <c r="AB175" s="81">
        <f t="shared" si="232"/>
        <v>266.71568603699234</v>
      </c>
      <c r="AC175" s="81">
        <v>1855.9674528006528</v>
      </c>
      <c r="AD175" s="81">
        <v>1013.0115117805658</v>
      </c>
      <c r="AE175" s="81">
        <v>632.73673440385119</v>
      </c>
      <c r="AF175" s="81">
        <v>0</v>
      </c>
      <c r="AG175" s="81">
        <f t="shared" si="233"/>
        <v>368.06764673104942</v>
      </c>
      <c r="AH175" s="64"/>
      <c r="AI175" s="64"/>
      <c r="AJ175" s="67">
        <v>36</v>
      </c>
      <c r="AK175" s="73" t="s">
        <v>66</v>
      </c>
      <c r="AL175" s="67">
        <v>6115</v>
      </c>
      <c r="AM175" s="72" t="s">
        <v>273</v>
      </c>
      <c r="AN175" s="72" t="s">
        <v>274</v>
      </c>
      <c r="AO175" s="159">
        <f t="shared" si="234"/>
        <v>96017.646973317242</v>
      </c>
      <c r="AP175" s="159">
        <f t="shared" si="235"/>
        <v>32005.882324439081</v>
      </c>
      <c r="AQ175" s="159">
        <f t="shared" si="236"/>
        <v>6401.1764648878161</v>
      </c>
      <c r="AR175" s="159">
        <f t="shared" si="237"/>
        <v>6691.1911586969145</v>
      </c>
      <c r="AS175" s="159">
        <f t="shared" si="238"/>
        <v>0</v>
      </c>
      <c r="AT175" s="159">
        <f t="shared" si="239"/>
        <v>16002.94116221954</v>
      </c>
      <c r="AU175" s="159">
        <f t="shared" si="240"/>
        <v>3200.5882324439081</v>
      </c>
      <c r="AV175" s="159">
        <f t="shared" si="241"/>
        <v>22271.609433607835</v>
      </c>
      <c r="AW175" s="159">
        <f t="shared" si="242"/>
        <v>12156.13814136679</v>
      </c>
      <c r="AX175" s="159">
        <f t="shared" si="243"/>
        <v>7592.8408128462142</v>
      </c>
      <c r="AY175" s="159">
        <f t="shared" si="244"/>
        <v>0</v>
      </c>
      <c r="AZ175" s="159">
        <f t="shared" si="245"/>
        <v>4416.8117607725926</v>
      </c>
      <c r="BB175" s="64"/>
      <c r="BC175" s="66"/>
      <c r="BD175" s="66"/>
      <c r="BE175" s="66"/>
    </row>
    <row r="176" spans="2:57" ht="21" customHeight="1" x14ac:dyDescent="0.2">
      <c r="B176" s="67">
        <v>37</v>
      </c>
      <c r="C176" s="73" t="s">
        <v>66</v>
      </c>
      <c r="D176" s="67">
        <v>6159</v>
      </c>
      <c r="E176" s="72" t="s">
        <v>275</v>
      </c>
      <c r="F176" s="72" t="s">
        <v>274</v>
      </c>
      <c r="G176" s="55">
        <v>44593</v>
      </c>
      <c r="H176" s="56" t="str">
        <f t="shared" si="220"/>
        <v>2 AÑOS</v>
      </c>
      <c r="I176" s="57">
        <v>5129.1478084036989</v>
      </c>
      <c r="J176" s="58"/>
      <c r="K176" s="58"/>
      <c r="L176" s="59"/>
      <c r="M176" s="60">
        <v>4.0000000000000002E-4</v>
      </c>
      <c r="N176" s="61">
        <f t="shared" si="221"/>
        <v>205.16591233614795</v>
      </c>
      <c r="O176" s="58">
        <f t="shared" si="222"/>
        <v>5334.3137207398468</v>
      </c>
      <c r="P176" s="61">
        <f t="shared" si="223"/>
        <v>10668.627441479694</v>
      </c>
      <c r="Q176" s="61">
        <f t="shared" si="224"/>
        <v>8001.4705811097701</v>
      </c>
      <c r="R176" s="61">
        <f t="shared" si="225"/>
        <v>2667.1568603699234</v>
      </c>
      <c r="S176" s="61">
        <f t="shared" si="226"/>
        <v>355.62091471598978</v>
      </c>
      <c r="T176" s="58">
        <f t="shared" si="227"/>
        <v>408.21724800248467</v>
      </c>
      <c r="U176" s="61">
        <f t="shared" si="228"/>
        <v>4000.7352905548851</v>
      </c>
      <c r="V176" s="58">
        <f t="shared" si="229"/>
        <v>1333.5784301849617</v>
      </c>
      <c r="W176" s="101">
        <v>0</v>
      </c>
      <c r="X176" s="63">
        <f t="shared" si="230"/>
        <v>0</v>
      </c>
      <c r="Y176" s="61">
        <v>557.59926322474291</v>
      </c>
      <c r="Z176" s="61">
        <v>0</v>
      </c>
      <c r="AA176" s="61">
        <f t="shared" si="231"/>
        <v>1333.5784301849617</v>
      </c>
      <c r="AB176" s="61">
        <f t="shared" si="232"/>
        <v>266.71568603699234</v>
      </c>
      <c r="AC176" s="61">
        <v>1855.9674528006528</v>
      </c>
      <c r="AD176" s="61">
        <v>1013.0115117805658</v>
      </c>
      <c r="AE176" s="61">
        <v>632.73673440385119</v>
      </c>
      <c r="AF176" s="61">
        <v>0</v>
      </c>
      <c r="AG176" s="61">
        <f t="shared" si="233"/>
        <v>368.06764673104942</v>
      </c>
      <c r="AH176" s="64"/>
      <c r="AI176" s="64"/>
      <c r="AJ176" s="67">
        <v>37</v>
      </c>
      <c r="AK176" s="73" t="s">
        <v>66</v>
      </c>
      <c r="AL176" s="67">
        <v>6159</v>
      </c>
      <c r="AM176" s="72" t="s">
        <v>275</v>
      </c>
      <c r="AN176" s="72" t="s">
        <v>274</v>
      </c>
      <c r="AO176" s="159">
        <f t="shared" si="234"/>
        <v>96017.646973317242</v>
      </c>
      <c r="AP176" s="159">
        <f t="shared" si="235"/>
        <v>32005.882324439081</v>
      </c>
      <c r="AQ176" s="159">
        <f t="shared" si="236"/>
        <v>0</v>
      </c>
      <c r="AR176" s="159">
        <f t="shared" si="237"/>
        <v>6691.1911586969145</v>
      </c>
      <c r="AS176" s="159">
        <f t="shared" si="238"/>
        <v>0</v>
      </c>
      <c r="AT176" s="159">
        <f t="shared" si="239"/>
        <v>16002.94116221954</v>
      </c>
      <c r="AU176" s="159">
        <f t="shared" si="240"/>
        <v>3200.5882324439081</v>
      </c>
      <c r="AV176" s="159">
        <f t="shared" si="241"/>
        <v>22271.609433607835</v>
      </c>
      <c r="AW176" s="159">
        <f t="shared" si="242"/>
        <v>12156.13814136679</v>
      </c>
      <c r="AX176" s="159">
        <f t="shared" si="243"/>
        <v>7592.8408128462142</v>
      </c>
      <c r="AY176" s="159">
        <f t="shared" si="244"/>
        <v>0</v>
      </c>
      <c r="AZ176" s="159">
        <f t="shared" si="245"/>
        <v>4416.8117607725926</v>
      </c>
      <c r="BB176" s="64"/>
      <c r="BC176" s="66"/>
      <c r="BD176" s="66"/>
      <c r="BE176" s="66"/>
    </row>
    <row r="177" spans="1:177" ht="21" customHeight="1" x14ac:dyDescent="0.2">
      <c r="B177" s="67">
        <v>38</v>
      </c>
      <c r="C177" s="73" t="s">
        <v>66</v>
      </c>
      <c r="D177" s="67">
        <v>6110</v>
      </c>
      <c r="E177" s="72" t="s">
        <v>276</v>
      </c>
      <c r="F177" s="72" t="s">
        <v>277</v>
      </c>
      <c r="G177" s="55">
        <v>41159</v>
      </c>
      <c r="H177" s="56" t="str">
        <f t="shared" si="220"/>
        <v>12 AÑOS</v>
      </c>
      <c r="I177" s="57">
        <v>4740.2853388574022</v>
      </c>
      <c r="J177" s="58"/>
      <c r="K177" s="58"/>
      <c r="L177" s="59"/>
      <c r="M177" s="60">
        <v>4.0000000000000002E-4</v>
      </c>
      <c r="N177" s="61">
        <f t="shared" si="221"/>
        <v>189.61141355429609</v>
      </c>
      <c r="O177" s="58">
        <f t="shared" si="222"/>
        <v>4929.8967524116979</v>
      </c>
      <c r="P177" s="61">
        <f t="shared" si="223"/>
        <v>9859.7935048233958</v>
      </c>
      <c r="Q177" s="61">
        <f t="shared" si="224"/>
        <v>7394.8451286175468</v>
      </c>
      <c r="R177" s="61">
        <f t="shared" si="225"/>
        <v>2464.9483762058489</v>
      </c>
      <c r="S177" s="61">
        <f t="shared" si="226"/>
        <v>328.65978349411319</v>
      </c>
      <c r="T177" s="58">
        <f t="shared" si="227"/>
        <v>377.26856547289248</v>
      </c>
      <c r="U177" s="61">
        <f t="shared" si="228"/>
        <v>3697.4225643087734</v>
      </c>
      <c r="V177" s="58">
        <f t="shared" si="229"/>
        <v>1232.4741881029245</v>
      </c>
      <c r="W177" s="101">
        <v>0.05</v>
      </c>
      <c r="X177" s="63">
        <f t="shared" si="230"/>
        <v>492.98967524116983</v>
      </c>
      <c r="Y177" s="61">
        <v>491.59841399358902</v>
      </c>
      <c r="Z177" s="61">
        <v>0</v>
      </c>
      <c r="AA177" s="61">
        <f t="shared" si="231"/>
        <v>1232.4741881029245</v>
      </c>
      <c r="AB177" s="61">
        <f t="shared" si="232"/>
        <v>246.49483762058489</v>
      </c>
      <c r="AC177" s="61">
        <v>1756.8352542752734</v>
      </c>
      <c r="AD177" s="61">
        <v>936.21080864925648</v>
      </c>
      <c r="AE177" s="61">
        <v>584.76627648298336</v>
      </c>
      <c r="AF177" s="61">
        <v>0</v>
      </c>
      <c r="AG177" s="61">
        <f t="shared" si="233"/>
        <v>340.16287591640713</v>
      </c>
      <c r="AH177" s="64"/>
      <c r="AI177" s="64"/>
      <c r="AJ177" s="67">
        <v>38</v>
      </c>
      <c r="AK177" s="73" t="s">
        <v>66</v>
      </c>
      <c r="AL177" s="67">
        <v>6110</v>
      </c>
      <c r="AM177" s="72" t="s">
        <v>276</v>
      </c>
      <c r="AN177" s="72" t="s">
        <v>277</v>
      </c>
      <c r="AO177" s="159">
        <f t="shared" si="234"/>
        <v>88738.141543410558</v>
      </c>
      <c r="AP177" s="159">
        <f t="shared" si="235"/>
        <v>29579.380514470187</v>
      </c>
      <c r="AQ177" s="159">
        <f t="shared" si="236"/>
        <v>5915.876102894038</v>
      </c>
      <c r="AR177" s="159">
        <f t="shared" si="237"/>
        <v>5899.1809679230682</v>
      </c>
      <c r="AS177" s="159">
        <f t="shared" si="238"/>
        <v>0</v>
      </c>
      <c r="AT177" s="159">
        <f t="shared" si="239"/>
        <v>14789.690257235094</v>
      </c>
      <c r="AU177" s="159">
        <f t="shared" si="240"/>
        <v>2957.9380514470186</v>
      </c>
      <c r="AV177" s="159">
        <f t="shared" si="241"/>
        <v>21082.02305130328</v>
      </c>
      <c r="AW177" s="159">
        <f t="shared" si="242"/>
        <v>11234.529703791079</v>
      </c>
      <c r="AX177" s="159">
        <f t="shared" si="243"/>
        <v>7017.1953177958003</v>
      </c>
      <c r="AY177" s="159">
        <f t="shared" si="244"/>
        <v>0</v>
      </c>
      <c r="AZ177" s="159">
        <f t="shared" si="245"/>
        <v>4081.9545109968858</v>
      </c>
      <c r="BB177" s="64"/>
      <c r="BC177" s="66"/>
      <c r="BD177" s="66"/>
      <c r="BE177" s="66"/>
    </row>
    <row r="178" spans="1:177" ht="21" customHeight="1" x14ac:dyDescent="0.2">
      <c r="B178" s="67">
        <v>39</v>
      </c>
      <c r="C178" s="73" t="s">
        <v>66</v>
      </c>
      <c r="D178" s="67">
        <v>6081</v>
      </c>
      <c r="E178" s="72" t="s">
        <v>278</v>
      </c>
      <c r="F178" s="72" t="s">
        <v>277</v>
      </c>
      <c r="G178" s="55">
        <v>39814</v>
      </c>
      <c r="H178" s="56" t="str">
        <f t="shared" si="220"/>
        <v>15 AÑOS</v>
      </c>
      <c r="I178" s="57">
        <v>4740.2853388574022</v>
      </c>
      <c r="J178" s="58"/>
      <c r="K178" s="58"/>
      <c r="L178" s="59"/>
      <c r="M178" s="60">
        <v>4.0000000000000002E-4</v>
      </c>
      <c r="N178" s="61">
        <f t="shared" si="221"/>
        <v>189.61141355429609</v>
      </c>
      <c r="O178" s="58">
        <f t="shared" si="222"/>
        <v>4929.8967524116979</v>
      </c>
      <c r="P178" s="61">
        <f t="shared" si="223"/>
        <v>9859.7935048233958</v>
      </c>
      <c r="Q178" s="61">
        <f t="shared" si="224"/>
        <v>7394.8451286175468</v>
      </c>
      <c r="R178" s="61">
        <f t="shared" si="225"/>
        <v>2464.9483762058489</v>
      </c>
      <c r="S178" s="61">
        <f t="shared" si="226"/>
        <v>328.65978349411319</v>
      </c>
      <c r="T178" s="58">
        <f t="shared" si="227"/>
        <v>377.26856547289248</v>
      </c>
      <c r="U178" s="61">
        <f t="shared" si="228"/>
        <v>3697.4225643087734</v>
      </c>
      <c r="V178" s="58">
        <f t="shared" si="229"/>
        <v>1232.4741881029245</v>
      </c>
      <c r="W178" s="101">
        <v>7.4999999999999997E-2</v>
      </c>
      <c r="X178" s="63">
        <f t="shared" si="230"/>
        <v>739.48451286175464</v>
      </c>
      <c r="Y178" s="61">
        <v>491.59841399358902</v>
      </c>
      <c r="Z178" s="61">
        <v>0</v>
      </c>
      <c r="AA178" s="61">
        <f t="shared" si="231"/>
        <v>1232.4741881029245</v>
      </c>
      <c r="AB178" s="61">
        <f t="shared" si="232"/>
        <v>246.49483762058489</v>
      </c>
      <c r="AC178" s="61">
        <v>1756.8352542752734</v>
      </c>
      <c r="AD178" s="61">
        <v>936.21080864925648</v>
      </c>
      <c r="AE178" s="61">
        <v>584.76627648298336</v>
      </c>
      <c r="AF178" s="61">
        <v>0</v>
      </c>
      <c r="AG178" s="61">
        <f t="shared" si="233"/>
        <v>340.16287591640713</v>
      </c>
      <c r="AH178" s="64"/>
      <c r="AI178" s="64"/>
      <c r="AJ178" s="67">
        <v>39</v>
      </c>
      <c r="AK178" s="73" t="s">
        <v>66</v>
      </c>
      <c r="AL178" s="67">
        <v>6081</v>
      </c>
      <c r="AM178" s="72" t="s">
        <v>278</v>
      </c>
      <c r="AN178" s="72" t="s">
        <v>277</v>
      </c>
      <c r="AO178" s="159">
        <f t="shared" si="234"/>
        <v>88738.141543410558</v>
      </c>
      <c r="AP178" s="159">
        <f t="shared" si="235"/>
        <v>29579.380514470187</v>
      </c>
      <c r="AQ178" s="159">
        <f t="shared" si="236"/>
        <v>8873.8141543410566</v>
      </c>
      <c r="AR178" s="159">
        <f t="shared" si="237"/>
        <v>5899.1809679230682</v>
      </c>
      <c r="AS178" s="159">
        <f t="shared" si="238"/>
        <v>0</v>
      </c>
      <c r="AT178" s="159">
        <f t="shared" si="239"/>
        <v>14789.690257235094</v>
      </c>
      <c r="AU178" s="159">
        <f t="shared" si="240"/>
        <v>2957.9380514470186</v>
      </c>
      <c r="AV178" s="159">
        <f t="shared" si="241"/>
        <v>21082.02305130328</v>
      </c>
      <c r="AW178" s="159">
        <f t="shared" si="242"/>
        <v>11234.529703791079</v>
      </c>
      <c r="AX178" s="159">
        <f t="shared" si="243"/>
        <v>7017.1953177958003</v>
      </c>
      <c r="AY178" s="159">
        <f t="shared" si="244"/>
        <v>0</v>
      </c>
      <c r="AZ178" s="159">
        <f t="shared" si="245"/>
        <v>4081.9545109968858</v>
      </c>
      <c r="BB178" s="64"/>
      <c r="BC178" s="66"/>
      <c r="BD178" s="66"/>
      <c r="BE178" s="66"/>
    </row>
    <row r="179" spans="1:177" ht="21" customHeight="1" x14ac:dyDescent="0.2">
      <c r="B179" s="67">
        <v>40</v>
      </c>
      <c r="C179" s="73" t="s">
        <v>66</v>
      </c>
      <c r="D179" s="67">
        <v>6050</v>
      </c>
      <c r="E179" s="72" t="s">
        <v>279</v>
      </c>
      <c r="F179" s="72" t="s">
        <v>277</v>
      </c>
      <c r="G179" s="55">
        <v>37653</v>
      </c>
      <c r="H179" s="56" t="str">
        <f t="shared" si="220"/>
        <v>21 AÑOS</v>
      </c>
      <c r="I179" s="57">
        <v>4740.2853388574022</v>
      </c>
      <c r="J179" s="58"/>
      <c r="K179" s="58"/>
      <c r="L179" s="59"/>
      <c r="M179" s="60">
        <v>4.0000000000000002E-4</v>
      </c>
      <c r="N179" s="61">
        <f t="shared" si="221"/>
        <v>189.61141355429609</v>
      </c>
      <c r="O179" s="58">
        <f t="shared" si="222"/>
        <v>4929.8967524116979</v>
      </c>
      <c r="P179" s="61">
        <f t="shared" si="223"/>
        <v>9859.7935048233958</v>
      </c>
      <c r="Q179" s="61">
        <f t="shared" si="224"/>
        <v>7394.8451286175468</v>
      </c>
      <c r="R179" s="61">
        <f t="shared" si="225"/>
        <v>2464.9483762058489</v>
      </c>
      <c r="S179" s="61">
        <f t="shared" si="226"/>
        <v>328.65978349411319</v>
      </c>
      <c r="T179" s="58">
        <f t="shared" si="227"/>
        <v>377.26856547289248</v>
      </c>
      <c r="U179" s="61">
        <f t="shared" si="228"/>
        <v>3697.4225643087734</v>
      </c>
      <c r="V179" s="58">
        <f t="shared" si="229"/>
        <v>1232.4741881029245</v>
      </c>
      <c r="W179" s="101">
        <v>7.4999999999999997E-2</v>
      </c>
      <c r="X179" s="63">
        <f t="shared" si="230"/>
        <v>739.48451286175464</v>
      </c>
      <c r="Y179" s="61">
        <v>491.59841399358902</v>
      </c>
      <c r="Z179" s="61">
        <v>0</v>
      </c>
      <c r="AA179" s="61">
        <f t="shared" si="231"/>
        <v>1232.4741881029245</v>
      </c>
      <c r="AB179" s="61">
        <f t="shared" si="232"/>
        <v>246.49483762058489</v>
      </c>
      <c r="AC179" s="61">
        <v>1756.8352542752734</v>
      </c>
      <c r="AD179" s="61">
        <v>936.21080864925648</v>
      </c>
      <c r="AE179" s="61">
        <v>584.76627648298336</v>
      </c>
      <c r="AF179" s="61">
        <v>0</v>
      </c>
      <c r="AG179" s="61">
        <f t="shared" si="233"/>
        <v>340.16287591640713</v>
      </c>
      <c r="AH179" s="64"/>
      <c r="AI179" s="64"/>
      <c r="AJ179" s="67">
        <v>40</v>
      </c>
      <c r="AK179" s="73" t="s">
        <v>66</v>
      </c>
      <c r="AL179" s="67">
        <v>6050</v>
      </c>
      <c r="AM179" s="72" t="s">
        <v>279</v>
      </c>
      <c r="AN179" s="72" t="s">
        <v>277</v>
      </c>
      <c r="AO179" s="138">
        <f t="shared" si="234"/>
        <v>88738.141543410558</v>
      </c>
      <c r="AP179" s="65">
        <f t="shared" si="235"/>
        <v>29579.380514470187</v>
      </c>
      <c r="AQ179" s="65">
        <f t="shared" si="236"/>
        <v>8873.8141543410566</v>
      </c>
      <c r="AR179" s="65">
        <f t="shared" si="237"/>
        <v>5899.1809679230682</v>
      </c>
      <c r="AS179" s="65">
        <f t="shared" si="238"/>
        <v>0</v>
      </c>
      <c r="AT179" s="65">
        <f t="shared" si="239"/>
        <v>14789.690257235094</v>
      </c>
      <c r="AU179" s="65">
        <f t="shared" si="240"/>
        <v>2957.9380514470186</v>
      </c>
      <c r="AV179" s="65">
        <f t="shared" si="241"/>
        <v>21082.02305130328</v>
      </c>
      <c r="AW179" s="65">
        <f t="shared" si="242"/>
        <v>11234.529703791079</v>
      </c>
      <c r="AX179" s="65">
        <f t="shared" si="243"/>
        <v>7017.1953177958003</v>
      </c>
      <c r="AY179" s="65">
        <f t="shared" si="244"/>
        <v>0</v>
      </c>
      <c r="AZ179" s="65">
        <f t="shared" si="245"/>
        <v>4081.9545109968858</v>
      </c>
      <c r="BB179" s="64"/>
      <c r="BC179" s="66"/>
      <c r="BD179" s="66"/>
      <c r="BE179" s="66"/>
    </row>
    <row r="180" spans="1:177" ht="21" customHeight="1" x14ac:dyDescent="0.2">
      <c r="B180" s="67">
        <v>41</v>
      </c>
      <c r="C180" s="73" t="s">
        <v>66</v>
      </c>
      <c r="D180" s="67">
        <v>6162</v>
      </c>
      <c r="E180" s="73" t="s">
        <v>280</v>
      </c>
      <c r="F180" s="72" t="s">
        <v>277</v>
      </c>
      <c r="G180" s="55">
        <v>44942</v>
      </c>
      <c r="H180" s="56" t="str">
        <f t="shared" si="220"/>
        <v>1 AÑOS</v>
      </c>
      <c r="I180" s="57">
        <v>4740.2853388574022</v>
      </c>
      <c r="J180" s="58"/>
      <c r="K180" s="58"/>
      <c r="L180" s="59"/>
      <c r="M180" s="60">
        <v>4.0000000000000002E-4</v>
      </c>
      <c r="N180" s="61">
        <f t="shared" si="221"/>
        <v>189.61141355429609</v>
      </c>
      <c r="O180" s="58">
        <f t="shared" si="222"/>
        <v>4929.8967524116979</v>
      </c>
      <c r="P180" s="61">
        <f t="shared" si="223"/>
        <v>9859.7935048233958</v>
      </c>
      <c r="Q180" s="61">
        <f t="shared" si="224"/>
        <v>7394.8451286175468</v>
      </c>
      <c r="R180" s="61">
        <f t="shared" si="225"/>
        <v>2464.9483762058489</v>
      </c>
      <c r="S180" s="61">
        <f t="shared" si="226"/>
        <v>328.65978349411319</v>
      </c>
      <c r="T180" s="58">
        <f t="shared" si="227"/>
        <v>377.26856547289248</v>
      </c>
      <c r="U180" s="61">
        <f t="shared" si="228"/>
        <v>3697.4225643087734</v>
      </c>
      <c r="V180" s="58">
        <f t="shared" si="229"/>
        <v>1232.4741881029245</v>
      </c>
      <c r="W180" s="101">
        <v>0</v>
      </c>
      <c r="X180" s="63">
        <f t="shared" si="230"/>
        <v>0</v>
      </c>
      <c r="Y180" s="61">
        <v>491.59841399358902</v>
      </c>
      <c r="Z180" s="61">
        <v>0</v>
      </c>
      <c r="AA180" s="61">
        <f t="shared" si="231"/>
        <v>1232.4741881029245</v>
      </c>
      <c r="AB180" s="61">
        <f t="shared" si="232"/>
        <v>246.49483762058489</v>
      </c>
      <c r="AC180" s="61">
        <v>1756.8352542752734</v>
      </c>
      <c r="AD180" s="61">
        <v>936.21080864925648</v>
      </c>
      <c r="AE180" s="61">
        <v>584.76627648298336</v>
      </c>
      <c r="AF180" s="61">
        <v>0</v>
      </c>
      <c r="AG180" s="61">
        <f t="shared" si="233"/>
        <v>340.16287591640713</v>
      </c>
      <c r="AH180" s="64"/>
      <c r="AI180" s="64"/>
      <c r="AJ180" s="67">
        <v>41</v>
      </c>
      <c r="AK180" s="73" t="s">
        <v>66</v>
      </c>
      <c r="AL180" s="67">
        <v>6162</v>
      </c>
      <c r="AM180" s="73" t="s">
        <v>280</v>
      </c>
      <c r="AN180" s="72" t="s">
        <v>277</v>
      </c>
      <c r="AO180" s="138">
        <f t="shared" si="234"/>
        <v>88738.141543410558</v>
      </c>
      <c r="AP180" s="65">
        <f t="shared" si="235"/>
        <v>29579.380514470187</v>
      </c>
      <c r="AQ180" s="65">
        <f t="shared" si="236"/>
        <v>0</v>
      </c>
      <c r="AR180" s="65">
        <f t="shared" si="237"/>
        <v>5899.1809679230682</v>
      </c>
      <c r="AS180" s="65">
        <f t="shared" si="238"/>
        <v>0</v>
      </c>
      <c r="AT180" s="65">
        <f t="shared" si="239"/>
        <v>14789.690257235094</v>
      </c>
      <c r="AU180" s="65">
        <f t="shared" si="240"/>
        <v>2957.9380514470186</v>
      </c>
      <c r="AV180" s="65">
        <f t="shared" si="241"/>
        <v>21082.02305130328</v>
      </c>
      <c r="AW180" s="65">
        <f t="shared" si="242"/>
        <v>11234.529703791079</v>
      </c>
      <c r="AX180" s="65">
        <f t="shared" si="243"/>
        <v>7017.1953177958003</v>
      </c>
      <c r="AY180" s="65">
        <f t="shared" si="244"/>
        <v>0</v>
      </c>
      <c r="AZ180" s="65">
        <f t="shared" si="245"/>
        <v>4081.9545109968858</v>
      </c>
      <c r="BB180" s="64"/>
      <c r="BC180" s="66"/>
      <c r="BD180" s="66"/>
      <c r="BE180" s="66"/>
    </row>
    <row r="181" spans="1:177" ht="21" customHeight="1" x14ac:dyDescent="0.2">
      <c r="B181" s="67">
        <v>42</v>
      </c>
      <c r="C181" s="73" t="s">
        <v>66</v>
      </c>
      <c r="D181" s="67">
        <v>9060</v>
      </c>
      <c r="E181" s="72" t="s">
        <v>281</v>
      </c>
      <c r="F181" s="72" t="s">
        <v>282</v>
      </c>
      <c r="G181" s="189">
        <v>39569</v>
      </c>
      <c r="H181" s="56" t="str">
        <f t="shared" si="220"/>
        <v>16 AÑOS</v>
      </c>
      <c r="I181" s="57">
        <v>4664.517108975404</v>
      </c>
      <c r="J181" s="58"/>
      <c r="K181" s="58"/>
      <c r="L181" s="59"/>
      <c r="M181" s="60">
        <v>4.0000000000000002E-4</v>
      </c>
      <c r="N181" s="61">
        <f t="shared" si="221"/>
        <v>186.58068435901617</v>
      </c>
      <c r="O181" s="58">
        <f t="shared" si="222"/>
        <v>4851.0977933344202</v>
      </c>
      <c r="P181" s="61">
        <f t="shared" si="223"/>
        <v>9702.1955866688404</v>
      </c>
      <c r="Q181" s="61">
        <f t="shared" si="224"/>
        <v>7276.6466900016303</v>
      </c>
      <c r="R181" s="61">
        <f t="shared" si="225"/>
        <v>2425.5488966672101</v>
      </c>
      <c r="S181" s="61">
        <f t="shared" si="226"/>
        <v>323.40651955562799</v>
      </c>
      <c r="T181" s="58">
        <f t="shared" si="227"/>
        <v>371.23834379790537</v>
      </c>
      <c r="U181" s="61">
        <f t="shared" si="228"/>
        <v>3638.3233450008152</v>
      </c>
      <c r="V181" s="58">
        <f t="shared" si="229"/>
        <v>1212.7744483336051</v>
      </c>
      <c r="W181" s="101">
        <v>7.4999999999999997E-2</v>
      </c>
      <c r="X181" s="63">
        <f t="shared" si="230"/>
        <v>727.66466900016303</v>
      </c>
      <c r="Y181" s="61">
        <v>263.93842387217734</v>
      </c>
      <c r="Z181" s="61">
        <v>0</v>
      </c>
      <c r="AA181" s="61">
        <f t="shared" si="231"/>
        <v>1212.7744483336051</v>
      </c>
      <c r="AB181" s="61">
        <f t="shared" si="232"/>
        <v>242.55488966672101</v>
      </c>
      <c r="AC181" s="61">
        <v>1737.5197589657307</v>
      </c>
      <c r="AD181" s="61">
        <v>921.24651205169198</v>
      </c>
      <c r="AE181" s="61">
        <v>575.41943288675327</v>
      </c>
      <c r="AF181" s="61">
        <v>0</v>
      </c>
      <c r="AG181" s="61">
        <f t="shared" si="233"/>
        <v>334.72574774007495</v>
      </c>
      <c r="AH181" s="64"/>
      <c r="AI181" s="64"/>
      <c r="AJ181" s="67">
        <v>42</v>
      </c>
      <c r="AK181" s="73" t="s">
        <v>66</v>
      </c>
      <c r="AL181" s="67">
        <v>9060</v>
      </c>
      <c r="AM181" s="72" t="s">
        <v>281</v>
      </c>
      <c r="AN181" s="72" t="s">
        <v>282</v>
      </c>
      <c r="AO181" s="138">
        <f t="shared" si="234"/>
        <v>87319.76028001956</v>
      </c>
      <c r="AP181" s="65">
        <f t="shared" si="235"/>
        <v>29106.586760006521</v>
      </c>
      <c r="AQ181" s="65">
        <f t="shared" si="236"/>
        <v>8731.9760280019564</v>
      </c>
      <c r="AR181" s="65">
        <f t="shared" si="237"/>
        <v>3167.2610864661283</v>
      </c>
      <c r="AS181" s="65">
        <f t="shared" si="238"/>
        <v>0</v>
      </c>
      <c r="AT181" s="65">
        <f t="shared" si="239"/>
        <v>14553.293380003261</v>
      </c>
      <c r="AU181" s="65">
        <f t="shared" si="240"/>
        <v>2910.6586760006521</v>
      </c>
      <c r="AV181" s="65">
        <f t="shared" si="241"/>
        <v>20850.237107588768</v>
      </c>
      <c r="AW181" s="65">
        <f t="shared" si="242"/>
        <v>11054.958144620305</v>
      </c>
      <c r="AX181" s="65">
        <f t="shared" si="243"/>
        <v>6905.0331946410388</v>
      </c>
      <c r="AY181" s="65">
        <f t="shared" si="244"/>
        <v>0</v>
      </c>
      <c r="AZ181" s="65">
        <f t="shared" si="245"/>
        <v>4016.7089728808996</v>
      </c>
      <c r="BB181" s="64"/>
      <c r="BC181" s="66"/>
      <c r="BD181" s="66"/>
      <c r="BE181" s="66"/>
    </row>
    <row r="182" spans="1:177" ht="21" customHeight="1" x14ac:dyDescent="0.2">
      <c r="B182" s="67">
        <v>43</v>
      </c>
      <c r="C182" s="73" t="s">
        <v>66</v>
      </c>
      <c r="D182" s="67">
        <v>7002</v>
      </c>
      <c r="E182" s="72" t="s">
        <v>283</v>
      </c>
      <c r="F182" s="72" t="s">
        <v>284</v>
      </c>
      <c r="G182" s="55">
        <v>32690</v>
      </c>
      <c r="H182" s="56" t="str">
        <f t="shared" si="220"/>
        <v>35 AÑOS</v>
      </c>
      <c r="I182" s="57">
        <v>4817.8181233701889</v>
      </c>
      <c r="J182" s="58"/>
      <c r="K182" s="58"/>
      <c r="L182" s="59"/>
      <c r="M182" s="60">
        <v>4.0000000000000002E-4</v>
      </c>
      <c r="N182" s="61">
        <f t="shared" si="221"/>
        <v>192.71272493480757</v>
      </c>
      <c r="O182" s="58">
        <f t="shared" si="222"/>
        <v>5010.5308483049967</v>
      </c>
      <c r="P182" s="61">
        <f t="shared" si="223"/>
        <v>10021.061696609993</v>
      </c>
      <c r="Q182" s="61">
        <f t="shared" si="224"/>
        <v>7515.7962724574954</v>
      </c>
      <c r="R182" s="61">
        <f t="shared" si="225"/>
        <v>2505.2654241524983</v>
      </c>
      <c r="S182" s="61">
        <f t="shared" si="226"/>
        <v>334.03538988699978</v>
      </c>
      <c r="T182" s="58">
        <f t="shared" si="227"/>
        <v>383.439224051287</v>
      </c>
      <c r="U182" s="61">
        <f t="shared" si="228"/>
        <v>3757.8981362287477</v>
      </c>
      <c r="V182" s="58">
        <f t="shared" si="229"/>
        <v>1252.6327120762492</v>
      </c>
      <c r="W182" s="101">
        <v>7.4999999999999997E-2</v>
      </c>
      <c r="X182" s="63">
        <f t="shared" si="230"/>
        <v>751.57962724574952</v>
      </c>
      <c r="Y182" s="61">
        <v>504.75789844337544</v>
      </c>
      <c r="Z182" s="61">
        <v>0</v>
      </c>
      <c r="AA182" s="61">
        <f t="shared" si="231"/>
        <v>1252.6327120762492</v>
      </c>
      <c r="AB182" s="61">
        <f t="shared" si="232"/>
        <v>250.52654241524985</v>
      </c>
      <c r="AC182" s="61">
        <v>1776.600585178805</v>
      </c>
      <c r="AD182" s="61">
        <v>951.5236064444714</v>
      </c>
      <c r="AE182" s="61">
        <v>594.33079727949496</v>
      </c>
      <c r="AF182" s="61">
        <v>0</v>
      </c>
      <c r="AG182" s="61">
        <f t="shared" si="233"/>
        <v>345.72662853304473</v>
      </c>
      <c r="AH182" s="64"/>
      <c r="AI182" s="64"/>
      <c r="AJ182" s="67">
        <v>43</v>
      </c>
      <c r="AK182" s="73" t="s">
        <v>66</v>
      </c>
      <c r="AL182" s="67">
        <v>7002</v>
      </c>
      <c r="AM182" s="72" t="s">
        <v>283</v>
      </c>
      <c r="AN182" s="72" t="s">
        <v>284</v>
      </c>
      <c r="AO182" s="138">
        <f t="shared" si="234"/>
        <v>90189.555269489938</v>
      </c>
      <c r="AP182" s="65">
        <f t="shared" si="235"/>
        <v>30063.185089829982</v>
      </c>
      <c r="AQ182" s="65">
        <f t="shared" si="236"/>
        <v>9018.9555269489938</v>
      </c>
      <c r="AR182" s="65">
        <f t="shared" si="237"/>
        <v>6057.0947813205057</v>
      </c>
      <c r="AS182" s="65">
        <f t="shared" si="238"/>
        <v>0</v>
      </c>
      <c r="AT182" s="65">
        <f t="shared" si="239"/>
        <v>15031.592544914991</v>
      </c>
      <c r="AU182" s="65">
        <f t="shared" si="240"/>
        <v>3006.3185089829981</v>
      </c>
      <c r="AV182" s="65">
        <f t="shared" si="241"/>
        <v>21319.20702214566</v>
      </c>
      <c r="AW182" s="65">
        <f t="shared" si="242"/>
        <v>11418.283277333656</v>
      </c>
      <c r="AX182" s="65">
        <f t="shared" si="243"/>
        <v>7131.9695673539391</v>
      </c>
      <c r="AY182" s="65">
        <f t="shared" si="244"/>
        <v>0</v>
      </c>
      <c r="AZ182" s="65">
        <f t="shared" si="245"/>
        <v>4148.7195423965368</v>
      </c>
      <c r="BB182" s="64"/>
      <c r="BC182" s="66"/>
      <c r="BD182" s="66"/>
      <c r="BE182" s="66"/>
    </row>
    <row r="183" spans="1:177" s="364" customFormat="1" ht="21" customHeight="1" x14ac:dyDescent="0.2">
      <c r="B183" s="365">
        <v>44</v>
      </c>
      <c r="C183" s="372" t="s">
        <v>66</v>
      </c>
      <c r="D183" s="369">
        <v>6158</v>
      </c>
      <c r="E183" s="399" t="s">
        <v>285</v>
      </c>
      <c r="F183" s="371" t="s">
        <v>286</v>
      </c>
      <c r="G183" s="392">
        <v>44531</v>
      </c>
      <c r="H183" s="56" t="str">
        <f xml:space="preserve"> CONCATENATE(DATEDIF(G183,H$5,"Y")," AÑOS")</f>
        <v>3 AÑOS</v>
      </c>
      <c r="I183" s="75">
        <v>8681.82</v>
      </c>
      <c r="J183" s="400"/>
      <c r="K183" s="229"/>
      <c r="L183" s="230"/>
      <c r="M183" s="60">
        <v>4.0000000000000002E-4</v>
      </c>
      <c r="N183" s="61">
        <f>I183*0.04</f>
        <v>347.27280000000002</v>
      </c>
      <c r="O183" s="58">
        <f>I183+N183</f>
        <v>9029.0928000000004</v>
      </c>
      <c r="P183" s="61">
        <f>O183*2</f>
        <v>18058.185600000001</v>
      </c>
      <c r="Q183" s="61">
        <f>P183*0.75</f>
        <v>13543.639200000001</v>
      </c>
      <c r="R183" s="61">
        <f>P183*0.25</f>
        <v>4514.5464000000002</v>
      </c>
      <c r="S183" s="61">
        <f>(P183/30)</f>
        <v>601.93952000000002</v>
      </c>
      <c r="T183" s="58">
        <f>S183*1.1479</f>
        <v>690.966375008</v>
      </c>
      <c r="U183" s="61">
        <f>O183*0.75</f>
        <v>6771.8196000000007</v>
      </c>
      <c r="V183" s="58">
        <f>O183*0.25</f>
        <v>2257.2732000000001</v>
      </c>
      <c r="W183" s="62">
        <v>0</v>
      </c>
      <c r="X183" s="63">
        <f>P183*W183</f>
        <v>0</v>
      </c>
      <c r="Y183" s="61">
        <v>1306.77</v>
      </c>
      <c r="Z183" s="61">
        <v>0</v>
      </c>
      <c r="AA183" s="61">
        <f>(S183*45)/12</f>
        <v>2257.2732000000001</v>
      </c>
      <c r="AB183" s="61">
        <f>(S183*10)*(0.45*2)/12</f>
        <v>451.45463999999998</v>
      </c>
      <c r="AC183" s="61">
        <v>2761.6455075736621</v>
      </c>
      <c r="AD183" s="61">
        <v>1811.0574172147185</v>
      </c>
      <c r="AE183" s="61">
        <v>1070.9978812624001</v>
      </c>
      <c r="AF183" s="61">
        <v>0</v>
      </c>
      <c r="AG183" s="61">
        <f>(P183+AA183+AB183)*0.03</f>
        <v>623.0074032</v>
      </c>
      <c r="AH183" s="64"/>
      <c r="AI183" s="64"/>
      <c r="AJ183" s="365">
        <v>44</v>
      </c>
      <c r="AK183" s="372" t="s">
        <v>66</v>
      </c>
      <c r="AL183" s="369">
        <v>6158</v>
      </c>
      <c r="AM183" s="399" t="s">
        <v>285</v>
      </c>
      <c r="AN183" s="371" t="s">
        <v>286</v>
      </c>
      <c r="AO183" s="368">
        <f t="shared" ref="AO183:AP183" si="246">Q183*3</f>
        <v>40630.917600000001</v>
      </c>
      <c r="AP183" s="368">
        <f t="shared" si="246"/>
        <v>13543.639200000001</v>
      </c>
      <c r="AQ183" s="368">
        <f t="shared" ref="AQ183:AZ183" si="247">X183*3</f>
        <v>0</v>
      </c>
      <c r="AR183" s="368">
        <f t="shared" si="247"/>
        <v>3920.31</v>
      </c>
      <c r="AS183" s="368">
        <f t="shared" si="247"/>
        <v>0</v>
      </c>
      <c r="AT183" s="368">
        <f t="shared" si="247"/>
        <v>6771.8196000000007</v>
      </c>
      <c r="AU183" s="368">
        <f t="shared" si="247"/>
        <v>1354.36392</v>
      </c>
      <c r="AV183" s="368">
        <f t="shared" si="247"/>
        <v>8284.9365227209855</v>
      </c>
      <c r="AW183" s="368">
        <f t="shared" si="247"/>
        <v>5433.172251644155</v>
      </c>
      <c r="AX183" s="368">
        <f t="shared" si="247"/>
        <v>3212.9936437872002</v>
      </c>
      <c r="AY183" s="368">
        <f t="shared" si="247"/>
        <v>0</v>
      </c>
      <c r="AZ183" s="368">
        <f t="shared" si="247"/>
        <v>1869.0222096</v>
      </c>
      <c r="BB183" s="64"/>
      <c r="BC183" s="66"/>
      <c r="BD183" s="66"/>
      <c r="BE183" s="66"/>
    </row>
    <row r="184" spans="1:177" s="364" customFormat="1" ht="21" customHeight="1" x14ac:dyDescent="0.2">
      <c r="B184" s="365">
        <v>45</v>
      </c>
      <c r="C184" s="372" t="s">
        <v>66</v>
      </c>
      <c r="D184" s="365">
        <v>6106</v>
      </c>
      <c r="E184" s="371" t="s">
        <v>287</v>
      </c>
      <c r="F184" s="371" t="s">
        <v>288</v>
      </c>
      <c r="G184" s="55">
        <v>40544</v>
      </c>
      <c r="H184" s="56" t="str">
        <f t="shared" si="220"/>
        <v>13 AÑOS</v>
      </c>
      <c r="I184" s="57">
        <v>3645.8352743228638</v>
      </c>
      <c r="J184" s="58"/>
      <c r="K184" s="58"/>
      <c r="L184" s="59"/>
      <c r="M184" s="60">
        <v>4.0000000000000002E-4</v>
      </c>
      <c r="N184" s="61">
        <f t="shared" si="221"/>
        <v>145.83341097291455</v>
      </c>
      <c r="O184" s="58">
        <f t="shared" si="222"/>
        <v>3791.6686852957782</v>
      </c>
      <c r="P184" s="61">
        <f t="shared" si="223"/>
        <v>7583.3373705915565</v>
      </c>
      <c r="Q184" s="61">
        <f t="shared" si="224"/>
        <v>5687.5030279436669</v>
      </c>
      <c r="R184" s="61">
        <f t="shared" si="225"/>
        <v>1895.8343426478891</v>
      </c>
      <c r="S184" s="61">
        <f t="shared" si="226"/>
        <v>252.77791235305187</v>
      </c>
      <c r="T184" s="58">
        <f t="shared" si="227"/>
        <v>290.16376559006824</v>
      </c>
      <c r="U184" s="61">
        <f t="shared" si="228"/>
        <v>2843.7515139718334</v>
      </c>
      <c r="V184" s="58">
        <f t="shared" si="229"/>
        <v>947.91717132394456</v>
      </c>
      <c r="W184" s="101">
        <v>0.05</v>
      </c>
      <c r="X184" s="63">
        <f t="shared" si="230"/>
        <v>379.16686852957787</v>
      </c>
      <c r="Y184" s="61">
        <v>40.282113788394724</v>
      </c>
      <c r="Z184" s="61">
        <v>0</v>
      </c>
      <c r="AA184" s="61">
        <f t="shared" si="231"/>
        <v>947.91717132394444</v>
      </c>
      <c r="AB184" s="61">
        <f t="shared" si="232"/>
        <v>189.58343426478891</v>
      </c>
      <c r="AC184" s="61">
        <v>1477.8285370671611</v>
      </c>
      <c r="AD184" s="61">
        <v>693.97016997348658</v>
      </c>
      <c r="AE184" s="61">
        <v>449.75383666460579</v>
      </c>
      <c r="AF184" s="61">
        <v>0</v>
      </c>
      <c r="AG184" s="61">
        <f t="shared" si="233"/>
        <v>261.62513928540869</v>
      </c>
      <c r="AH184" s="64"/>
      <c r="AI184" s="64"/>
      <c r="AJ184" s="365">
        <v>45</v>
      </c>
      <c r="AK184" s="372" t="s">
        <v>66</v>
      </c>
      <c r="AL184" s="365">
        <v>6106</v>
      </c>
      <c r="AM184" s="371" t="s">
        <v>287</v>
      </c>
      <c r="AN184" s="371" t="s">
        <v>288</v>
      </c>
      <c r="AO184" s="401">
        <f t="shared" ref="AO184:AP189" si="248">Q184*12</f>
        <v>68250.036335323995</v>
      </c>
      <c r="AP184" s="368">
        <f t="shared" si="248"/>
        <v>22750.012111774668</v>
      </c>
      <c r="AQ184" s="368">
        <f t="shared" ref="AQ184:AZ189" si="249">X184*12</f>
        <v>4550.0024223549344</v>
      </c>
      <c r="AR184" s="368">
        <f t="shared" si="249"/>
        <v>483.38536546073669</v>
      </c>
      <c r="AS184" s="368">
        <f t="shared" si="249"/>
        <v>0</v>
      </c>
      <c r="AT184" s="368">
        <f t="shared" si="249"/>
        <v>11375.006055887334</v>
      </c>
      <c r="AU184" s="368">
        <f t="shared" si="249"/>
        <v>2275.0012111774668</v>
      </c>
      <c r="AV184" s="368">
        <f t="shared" si="249"/>
        <v>17733.942444805933</v>
      </c>
      <c r="AW184" s="368">
        <f t="shared" si="249"/>
        <v>8327.6420396818394</v>
      </c>
      <c r="AX184" s="368">
        <f t="shared" si="249"/>
        <v>5397.0460399752692</v>
      </c>
      <c r="AY184" s="368">
        <f t="shared" si="249"/>
        <v>0</v>
      </c>
      <c r="AZ184" s="368">
        <f t="shared" si="249"/>
        <v>3139.5016714249041</v>
      </c>
      <c r="BB184" s="64"/>
      <c r="BC184" s="66"/>
      <c r="BD184" s="66"/>
      <c r="BE184" s="66"/>
    </row>
    <row r="185" spans="1:177" s="364" customFormat="1" ht="21" customHeight="1" x14ac:dyDescent="0.2">
      <c r="B185" s="365">
        <v>46</v>
      </c>
      <c r="C185" s="372" t="s">
        <v>66</v>
      </c>
      <c r="D185" s="365">
        <v>6152</v>
      </c>
      <c r="E185" s="372" t="s">
        <v>289</v>
      </c>
      <c r="F185" s="371" t="s">
        <v>290</v>
      </c>
      <c r="G185" s="55">
        <v>43773</v>
      </c>
      <c r="H185" s="56" t="str">
        <f t="shared" si="220"/>
        <v>5 AÑOS</v>
      </c>
      <c r="I185" s="57">
        <v>4973.6743879807937</v>
      </c>
      <c r="J185" s="58"/>
      <c r="K185" s="58"/>
      <c r="L185" s="59"/>
      <c r="M185" s="60">
        <v>4.0000000000000002E-4</v>
      </c>
      <c r="N185" s="61">
        <f t="shared" si="221"/>
        <v>198.94697551923176</v>
      </c>
      <c r="O185" s="58">
        <f t="shared" si="222"/>
        <v>5172.6213635000258</v>
      </c>
      <c r="P185" s="61">
        <f t="shared" si="223"/>
        <v>10345.242727000052</v>
      </c>
      <c r="Q185" s="61">
        <f t="shared" si="224"/>
        <v>7758.9320452500388</v>
      </c>
      <c r="R185" s="61">
        <f t="shared" si="225"/>
        <v>2586.3106817500129</v>
      </c>
      <c r="S185" s="61">
        <f t="shared" si="226"/>
        <v>344.84142423333503</v>
      </c>
      <c r="T185" s="58">
        <f t="shared" si="227"/>
        <v>395.84347087744527</v>
      </c>
      <c r="U185" s="61">
        <f t="shared" si="228"/>
        <v>3879.4660226250194</v>
      </c>
      <c r="V185" s="58">
        <f t="shared" si="229"/>
        <v>1293.1553408750065</v>
      </c>
      <c r="W185" s="101">
        <v>2.5000000000000001E-2</v>
      </c>
      <c r="X185" s="63">
        <f t="shared" si="230"/>
        <v>258.6310681750013</v>
      </c>
      <c r="Y185" s="61">
        <v>531.21107052320417</v>
      </c>
      <c r="Z185" s="61">
        <v>0</v>
      </c>
      <c r="AA185" s="61">
        <f t="shared" si="231"/>
        <v>1293.1553408750062</v>
      </c>
      <c r="AB185" s="61">
        <f t="shared" si="232"/>
        <v>258.6310681750013</v>
      </c>
      <c r="AC185" s="61">
        <v>1816.3328179726493</v>
      </c>
      <c r="AD185" s="61">
        <v>982.30536515592439</v>
      </c>
      <c r="AE185" s="61">
        <v>613.55737986004021</v>
      </c>
      <c r="AF185" s="61">
        <v>0</v>
      </c>
      <c r="AG185" s="61">
        <f t="shared" si="233"/>
        <v>356.91087408150179</v>
      </c>
      <c r="AH185" s="64"/>
      <c r="AI185" s="64"/>
      <c r="AJ185" s="365">
        <v>46</v>
      </c>
      <c r="AK185" s="372" t="s">
        <v>66</v>
      </c>
      <c r="AL185" s="365">
        <v>6152</v>
      </c>
      <c r="AM185" s="372" t="s">
        <v>289</v>
      </c>
      <c r="AN185" s="371" t="s">
        <v>290</v>
      </c>
      <c r="AO185" s="401">
        <f t="shared" si="248"/>
        <v>93107.184543000461</v>
      </c>
      <c r="AP185" s="368">
        <f t="shared" si="248"/>
        <v>31035.728181000155</v>
      </c>
      <c r="AQ185" s="368">
        <f t="shared" si="249"/>
        <v>3103.5728181000159</v>
      </c>
      <c r="AR185" s="368">
        <f t="shared" si="249"/>
        <v>6374.5328462784501</v>
      </c>
      <c r="AS185" s="368">
        <f t="shared" si="249"/>
        <v>0</v>
      </c>
      <c r="AT185" s="368">
        <f t="shared" si="249"/>
        <v>15517.864090500076</v>
      </c>
      <c r="AU185" s="368">
        <f t="shared" si="249"/>
        <v>3103.5728181000159</v>
      </c>
      <c r="AV185" s="368">
        <f t="shared" si="249"/>
        <v>21795.993815671791</v>
      </c>
      <c r="AW185" s="368">
        <f t="shared" si="249"/>
        <v>11787.664381871093</v>
      </c>
      <c r="AX185" s="368">
        <f t="shared" si="249"/>
        <v>7362.6885583204821</v>
      </c>
      <c r="AY185" s="368">
        <f t="shared" si="249"/>
        <v>0</v>
      </c>
      <c r="AZ185" s="368">
        <f t="shared" si="249"/>
        <v>4282.9304889780215</v>
      </c>
      <c r="BB185" s="64"/>
      <c r="BC185" s="66"/>
      <c r="BD185" s="66"/>
      <c r="BE185" s="66"/>
    </row>
    <row r="186" spans="1:177" s="364" customFormat="1" ht="21" customHeight="1" x14ac:dyDescent="0.2">
      <c r="B186" s="365">
        <v>47</v>
      </c>
      <c r="C186" s="372" t="s">
        <v>66</v>
      </c>
      <c r="D186" s="365">
        <v>6025</v>
      </c>
      <c r="E186" s="371" t="s">
        <v>291</v>
      </c>
      <c r="F186" s="371" t="s">
        <v>290</v>
      </c>
      <c r="G186" s="56">
        <v>36997</v>
      </c>
      <c r="H186" s="56" t="str">
        <f t="shared" si="220"/>
        <v>23 AÑOS</v>
      </c>
      <c r="I186" s="57">
        <v>4973.6743879807937</v>
      </c>
      <c r="J186" s="58"/>
      <c r="K186" s="58"/>
      <c r="L186" s="59"/>
      <c r="M186" s="60">
        <v>4.0000000000000002E-4</v>
      </c>
      <c r="N186" s="61">
        <f t="shared" si="221"/>
        <v>198.94697551923176</v>
      </c>
      <c r="O186" s="58">
        <f t="shared" si="222"/>
        <v>5172.6213635000258</v>
      </c>
      <c r="P186" s="61">
        <f t="shared" si="223"/>
        <v>10345.242727000052</v>
      </c>
      <c r="Q186" s="61">
        <f t="shared" si="224"/>
        <v>7758.9320452500388</v>
      </c>
      <c r="R186" s="61">
        <f t="shared" si="225"/>
        <v>2586.3106817500129</v>
      </c>
      <c r="S186" s="61">
        <f t="shared" si="226"/>
        <v>344.84142423333503</v>
      </c>
      <c r="T186" s="58">
        <f t="shared" si="227"/>
        <v>395.84347087744527</v>
      </c>
      <c r="U186" s="61">
        <f t="shared" si="228"/>
        <v>3879.4660226250194</v>
      </c>
      <c r="V186" s="58">
        <f t="shared" si="229"/>
        <v>1293.1553408750065</v>
      </c>
      <c r="W186" s="101">
        <v>7.4999999999999997E-2</v>
      </c>
      <c r="X186" s="63">
        <f t="shared" si="230"/>
        <v>775.89320452500385</v>
      </c>
      <c r="Y186" s="61">
        <v>531.21107052320417</v>
      </c>
      <c r="Z186" s="61">
        <v>0</v>
      </c>
      <c r="AA186" s="61">
        <f t="shared" si="231"/>
        <v>1293.1553408750062</v>
      </c>
      <c r="AB186" s="61">
        <f t="shared" si="232"/>
        <v>258.6310681750013</v>
      </c>
      <c r="AC186" s="61">
        <v>1816.3328179726493</v>
      </c>
      <c r="AD186" s="61">
        <v>982.30536515592439</v>
      </c>
      <c r="AE186" s="61">
        <v>613.55737986004021</v>
      </c>
      <c r="AF186" s="61">
        <v>0</v>
      </c>
      <c r="AG186" s="61">
        <f t="shared" si="233"/>
        <v>356.91087408150179</v>
      </c>
      <c r="AH186" s="64"/>
      <c r="AI186" s="64"/>
      <c r="AJ186" s="365">
        <v>47</v>
      </c>
      <c r="AK186" s="372" t="s">
        <v>66</v>
      </c>
      <c r="AL186" s="365">
        <v>6025</v>
      </c>
      <c r="AM186" s="371" t="s">
        <v>291</v>
      </c>
      <c r="AN186" s="371" t="s">
        <v>290</v>
      </c>
      <c r="AO186" s="401">
        <f t="shared" si="248"/>
        <v>93107.184543000461</v>
      </c>
      <c r="AP186" s="368">
        <f t="shared" si="248"/>
        <v>31035.728181000155</v>
      </c>
      <c r="AQ186" s="368">
        <f t="shared" si="249"/>
        <v>9310.7184543000458</v>
      </c>
      <c r="AR186" s="368">
        <f t="shared" si="249"/>
        <v>6374.5328462784501</v>
      </c>
      <c r="AS186" s="368">
        <f t="shared" si="249"/>
        <v>0</v>
      </c>
      <c r="AT186" s="368">
        <f t="shared" si="249"/>
        <v>15517.864090500076</v>
      </c>
      <c r="AU186" s="368">
        <f t="shared" si="249"/>
        <v>3103.5728181000159</v>
      </c>
      <c r="AV186" s="368">
        <f t="shared" si="249"/>
        <v>21795.993815671791</v>
      </c>
      <c r="AW186" s="368">
        <f t="shared" si="249"/>
        <v>11787.664381871093</v>
      </c>
      <c r="AX186" s="368">
        <f t="shared" si="249"/>
        <v>7362.6885583204821</v>
      </c>
      <c r="AY186" s="368">
        <f t="shared" si="249"/>
        <v>0</v>
      </c>
      <c r="AZ186" s="368">
        <f t="shared" si="249"/>
        <v>4282.9304889780215</v>
      </c>
      <c r="BB186" s="64"/>
      <c r="BC186" s="66"/>
      <c r="BD186" s="66"/>
      <c r="BE186" s="66"/>
    </row>
    <row r="187" spans="1:177" s="364" customFormat="1" ht="21" customHeight="1" x14ac:dyDescent="0.2">
      <c r="B187" s="365">
        <v>48</v>
      </c>
      <c r="C187" s="372" t="s">
        <v>66</v>
      </c>
      <c r="D187" s="365">
        <v>6022</v>
      </c>
      <c r="E187" s="371" t="s">
        <v>292</v>
      </c>
      <c r="F187" s="371" t="s">
        <v>290</v>
      </c>
      <c r="G187" s="56">
        <v>36966</v>
      </c>
      <c r="H187" s="56" t="str">
        <f t="shared" si="220"/>
        <v>23 AÑOS</v>
      </c>
      <c r="I187" s="57">
        <v>4973.6743879807937</v>
      </c>
      <c r="J187" s="58"/>
      <c r="K187" s="58"/>
      <c r="L187" s="59"/>
      <c r="M187" s="60">
        <v>4.0000000000000002E-4</v>
      </c>
      <c r="N187" s="61">
        <f t="shared" si="221"/>
        <v>198.94697551923176</v>
      </c>
      <c r="O187" s="58">
        <f t="shared" si="222"/>
        <v>5172.6213635000258</v>
      </c>
      <c r="P187" s="61">
        <f t="shared" si="223"/>
        <v>10345.242727000052</v>
      </c>
      <c r="Q187" s="61">
        <f t="shared" si="224"/>
        <v>7758.9320452500388</v>
      </c>
      <c r="R187" s="61">
        <f t="shared" si="225"/>
        <v>2586.3106817500129</v>
      </c>
      <c r="S187" s="61">
        <f t="shared" si="226"/>
        <v>344.84142423333503</v>
      </c>
      <c r="T187" s="58">
        <f t="shared" si="227"/>
        <v>395.84347087744527</v>
      </c>
      <c r="U187" s="61">
        <f t="shared" si="228"/>
        <v>3879.4660226250194</v>
      </c>
      <c r="V187" s="58">
        <f t="shared" si="229"/>
        <v>1293.1553408750065</v>
      </c>
      <c r="W187" s="101">
        <v>7.4999999999999997E-2</v>
      </c>
      <c r="X187" s="63">
        <f t="shared" si="230"/>
        <v>775.89320452500385</v>
      </c>
      <c r="Y187" s="61">
        <v>531.21107052320417</v>
      </c>
      <c r="Z187" s="61">
        <v>0</v>
      </c>
      <c r="AA187" s="61">
        <f t="shared" si="231"/>
        <v>1293.1553408750062</v>
      </c>
      <c r="AB187" s="61">
        <f t="shared" si="232"/>
        <v>258.6310681750013</v>
      </c>
      <c r="AC187" s="61">
        <v>1816.3328179726493</v>
      </c>
      <c r="AD187" s="61">
        <v>982.30536515592439</v>
      </c>
      <c r="AE187" s="61">
        <v>613.55737986004021</v>
      </c>
      <c r="AF187" s="61">
        <v>0</v>
      </c>
      <c r="AG187" s="61">
        <f t="shared" si="233"/>
        <v>356.91087408150179</v>
      </c>
      <c r="AH187" s="64"/>
      <c r="AI187" s="64"/>
      <c r="AJ187" s="365">
        <v>48</v>
      </c>
      <c r="AK187" s="372" t="s">
        <v>66</v>
      </c>
      <c r="AL187" s="365">
        <v>6022</v>
      </c>
      <c r="AM187" s="371" t="s">
        <v>292</v>
      </c>
      <c r="AN187" s="371" t="s">
        <v>290</v>
      </c>
      <c r="AO187" s="401">
        <f t="shared" si="248"/>
        <v>93107.184543000461</v>
      </c>
      <c r="AP187" s="368">
        <f t="shared" si="248"/>
        <v>31035.728181000155</v>
      </c>
      <c r="AQ187" s="368">
        <f t="shared" si="249"/>
        <v>9310.7184543000458</v>
      </c>
      <c r="AR187" s="368">
        <f t="shared" si="249"/>
        <v>6374.5328462784501</v>
      </c>
      <c r="AS187" s="368">
        <f t="shared" si="249"/>
        <v>0</v>
      </c>
      <c r="AT187" s="368">
        <f t="shared" si="249"/>
        <v>15517.864090500076</v>
      </c>
      <c r="AU187" s="368">
        <f t="shared" si="249"/>
        <v>3103.5728181000159</v>
      </c>
      <c r="AV187" s="368">
        <f t="shared" si="249"/>
        <v>21795.993815671791</v>
      </c>
      <c r="AW187" s="368">
        <f t="shared" si="249"/>
        <v>11787.664381871093</v>
      </c>
      <c r="AX187" s="368">
        <f t="shared" si="249"/>
        <v>7362.6885583204821</v>
      </c>
      <c r="AY187" s="368">
        <f t="shared" si="249"/>
        <v>0</v>
      </c>
      <c r="AZ187" s="368">
        <f t="shared" si="249"/>
        <v>4282.9304889780215</v>
      </c>
      <c r="BB187" s="64"/>
      <c r="BC187" s="66"/>
      <c r="BD187" s="66"/>
      <c r="BE187" s="66"/>
    </row>
    <row r="188" spans="1:177" s="364" customFormat="1" ht="21" customHeight="1" x14ac:dyDescent="0.2">
      <c r="B188" s="365">
        <v>49</v>
      </c>
      <c r="C188" s="372" t="s">
        <v>66</v>
      </c>
      <c r="D188" s="365">
        <v>5036</v>
      </c>
      <c r="E188" s="371" t="s">
        <v>293</v>
      </c>
      <c r="F188" s="371" t="s">
        <v>294</v>
      </c>
      <c r="G188" s="55">
        <v>39798</v>
      </c>
      <c r="H188" s="56" t="str">
        <f t="shared" si="220"/>
        <v>16 AÑOS</v>
      </c>
      <c r="I188" s="75">
        <v>4076.534985486393</v>
      </c>
      <c r="J188" s="75"/>
      <c r="K188" s="75"/>
      <c r="L188" s="137"/>
      <c r="M188" s="60">
        <v>4.0000000000000002E-4</v>
      </c>
      <c r="N188" s="61">
        <f t="shared" si="221"/>
        <v>163.06139941945571</v>
      </c>
      <c r="O188" s="58">
        <f t="shared" si="222"/>
        <v>4239.5963849058489</v>
      </c>
      <c r="P188" s="61">
        <f t="shared" si="223"/>
        <v>8479.1927698116979</v>
      </c>
      <c r="Q188" s="61">
        <f t="shared" si="224"/>
        <v>6359.3945773587729</v>
      </c>
      <c r="R188" s="61">
        <f t="shared" si="225"/>
        <v>2119.7981924529245</v>
      </c>
      <c r="S188" s="61">
        <f t="shared" si="226"/>
        <v>282.63975899372326</v>
      </c>
      <c r="T188" s="58">
        <f t="shared" si="227"/>
        <v>324.44217934889491</v>
      </c>
      <c r="U188" s="61">
        <f t="shared" si="228"/>
        <v>3179.6972886793865</v>
      </c>
      <c r="V188" s="58">
        <f t="shared" si="229"/>
        <v>1059.8990962264622</v>
      </c>
      <c r="W188" s="101">
        <v>7.4999999999999997E-2</v>
      </c>
      <c r="X188" s="63">
        <f t="shared" si="230"/>
        <v>635.93945773587734</v>
      </c>
      <c r="Y188" s="61">
        <v>128.74139401663444</v>
      </c>
      <c r="Z188" s="61">
        <v>0</v>
      </c>
      <c r="AA188" s="61">
        <f t="shared" si="231"/>
        <v>1059.8990962264622</v>
      </c>
      <c r="AB188" s="61">
        <f t="shared" si="232"/>
        <v>211.97981924529245</v>
      </c>
      <c r="AC188" s="61">
        <v>1591.968335240553</v>
      </c>
      <c r="AD188" s="61">
        <v>793.05024109147132</v>
      </c>
      <c r="AE188" s="61">
        <v>502.88537799078716</v>
      </c>
      <c r="AF188" s="61">
        <v>0</v>
      </c>
      <c r="AG188" s="61">
        <f t="shared" si="233"/>
        <v>292.53215055850353</v>
      </c>
      <c r="AH188" s="64"/>
      <c r="AI188" s="64"/>
      <c r="AJ188" s="365">
        <v>49</v>
      </c>
      <c r="AK188" s="372" t="s">
        <v>66</v>
      </c>
      <c r="AL188" s="365">
        <v>5036</v>
      </c>
      <c r="AM188" s="371" t="s">
        <v>293</v>
      </c>
      <c r="AN188" s="371" t="s">
        <v>294</v>
      </c>
      <c r="AO188" s="401">
        <f t="shared" si="248"/>
        <v>76312.734928305275</v>
      </c>
      <c r="AP188" s="368">
        <f t="shared" si="248"/>
        <v>25437.578309435092</v>
      </c>
      <c r="AQ188" s="368">
        <f t="shared" si="249"/>
        <v>7631.2734928305281</v>
      </c>
      <c r="AR188" s="368">
        <f t="shared" si="249"/>
        <v>1544.8967281996133</v>
      </c>
      <c r="AS188" s="368">
        <f t="shared" si="249"/>
        <v>0</v>
      </c>
      <c r="AT188" s="368">
        <f t="shared" si="249"/>
        <v>12718.789154717546</v>
      </c>
      <c r="AU188" s="368">
        <f t="shared" si="249"/>
        <v>2543.7578309435094</v>
      </c>
      <c r="AV188" s="368">
        <f t="shared" si="249"/>
        <v>19103.620022886636</v>
      </c>
      <c r="AW188" s="368">
        <f t="shared" si="249"/>
        <v>9516.6028930976554</v>
      </c>
      <c r="AX188" s="368">
        <f t="shared" si="249"/>
        <v>6034.6245358894457</v>
      </c>
      <c r="AY188" s="368">
        <f t="shared" si="249"/>
        <v>0</v>
      </c>
      <c r="AZ188" s="368">
        <f t="shared" si="249"/>
        <v>3510.3858067020424</v>
      </c>
      <c r="BB188" s="64"/>
      <c r="BC188" s="66"/>
      <c r="BD188" s="66"/>
      <c r="BE188" s="66"/>
    </row>
    <row r="189" spans="1:177" s="364" customFormat="1" ht="21" customHeight="1" x14ac:dyDescent="0.2">
      <c r="B189" s="365">
        <v>50</v>
      </c>
      <c r="C189" s="372" t="s">
        <v>66</v>
      </c>
      <c r="D189" s="365">
        <v>6131</v>
      </c>
      <c r="E189" s="372" t="s">
        <v>295</v>
      </c>
      <c r="F189" s="371" t="s">
        <v>294</v>
      </c>
      <c r="G189" s="384">
        <v>42370</v>
      </c>
      <c r="H189" s="56" t="str">
        <f t="shared" si="220"/>
        <v>8 AÑOS</v>
      </c>
      <c r="I189" s="57">
        <v>4076.534985486393</v>
      </c>
      <c r="J189" s="58"/>
      <c r="K189" s="58"/>
      <c r="L189" s="59"/>
      <c r="M189" s="60">
        <v>4.0000000000000002E-4</v>
      </c>
      <c r="N189" s="61">
        <f t="shared" si="221"/>
        <v>163.06139941945571</v>
      </c>
      <c r="O189" s="58">
        <f t="shared" si="222"/>
        <v>4239.5963849058489</v>
      </c>
      <c r="P189" s="61">
        <f t="shared" si="223"/>
        <v>8479.1927698116979</v>
      </c>
      <c r="Q189" s="61">
        <f t="shared" si="224"/>
        <v>6359.3945773587729</v>
      </c>
      <c r="R189" s="61">
        <f t="shared" si="225"/>
        <v>2119.7981924529245</v>
      </c>
      <c r="S189" s="61">
        <f t="shared" si="226"/>
        <v>282.63975899372326</v>
      </c>
      <c r="T189" s="58">
        <f t="shared" si="227"/>
        <v>324.44217934889491</v>
      </c>
      <c r="U189" s="61">
        <f t="shared" si="228"/>
        <v>3179.6972886793865</v>
      </c>
      <c r="V189" s="58">
        <f t="shared" si="229"/>
        <v>1059.8990962264622</v>
      </c>
      <c r="W189" s="101">
        <v>2.5000000000000001E-2</v>
      </c>
      <c r="X189" s="63">
        <f t="shared" si="230"/>
        <v>211.97981924529245</v>
      </c>
      <c r="Y189" s="61">
        <v>128.74139401663444</v>
      </c>
      <c r="Z189" s="61">
        <v>0</v>
      </c>
      <c r="AA189" s="61">
        <f t="shared" si="231"/>
        <v>1059.8990962264622</v>
      </c>
      <c r="AB189" s="61">
        <f t="shared" si="232"/>
        <v>211.97981924529245</v>
      </c>
      <c r="AC189" s="61">
        <v>1591.968335240553</v>
      </c>
      <c r="AD189" s="61">
        <v>793.05024109147132</v>
      </c>
      <c r="AE189" s="61">
        <v>502.88537799078716</v>
      </c>
      <c r="AF189" s="61">
        <v>0</v>
      </c>
      <c r="AG189" s="61">
        <f t="shared" si="233"/>
        <v>292.53215055850353</v>
      </c>
      <c r="AH189" s="64"/>
      <c r="AI189" s="64"/>
      <c r="AJ189" s="365">
        <v>50</v>
      </c>
      <c r="AK189" s="372" t="s">
        <v>66</v>
      </c>
      <c r="AL189" s="365">
        <v>6131</v>
      </c>
      <c r="AM189" s="372" t="s">
        <v>295</v>
      </c>
      <c r="AN189" s="371" t="s">
        <v>294</v>
      </c>
      <c r="AO189" s="401">
        <f t="shared" si="248"/>
        <v>76312.734928305275</v>
      </c>
      <c r="AP189" s="368">
        <f t="shared" si="248"/>
        <v>25437.578309435092</v>
      </c>
      <c r="AQ189" s="368">
        <f t="shared" si="249"/>
        <v>2543.7578309435094</v>
      </c>
      <c r="AR189" s="368">
        <f t="shared" si="249"/>
        <v>1544.8967281996133</v>
      </c>
      <c r="AS189" s="368">
        <f t="shared" si="249"/>
        <v>0</v>
      </c>
      <c r="AT189" s="368">
        <f t="shared" si="249"/>
        <v>12718.789154717546</v>
      </c>
      <c r="AU189" s="368">
        <f t="shared" si="249"/>
        <v>2543.7578309435094</v>
      </c>
      <c r="AV189" s="368">
        <f t="shared" si="249"/>
        <v>19103.620022886636</v>
      </c>
      <c r="AW189" s="368">
        <f t="shared" si="249"/>
        <v>9516.6028930976554</v>
      </c>
      <c r="AX189" s="368">
        <f t="shared" si="249"/>
        <v>6034.6245358894457</v>
      </c>
      <c r="AY189" s="368">
        <f t="shared" si="249"/>
        <v>0</v>
      </c>
      <c r="AZ189" s="368">
        <f t="shared" si="249"/>
        <v>3510.3858067020424</v>
      </c>
      <c r="BB189" s="64"/>
      <c r="BC189" s="66"/>
      <c r="BD189" s="66"/>
      <c r="BE189" s="66"/>
    </row>
    <row r="190" spans="1:177" s="364" customFormat="1" ht="21" customHeight="1" x14ac:dyDescent="0.2">
      <c r="B190" s="365">
        <v>51</v>
      </c>
      <c r="C190" s="372" t="s">
        <v>66</v>
      </c>
      <c r="D190" s="365">
        <v>6021</v>
      </c>
      <c r="E190" s="371" t="s">
        <v>296</v>
      </c>
      <c r="F190" s="371" t="s">
        <v>298</v>
      </c>
      <c r="G190" s="56">
        <v>37130</v>
      </c>
      <c r="H190" s="56" t="str">
        <f t="shared" si="220"/>
        <v>23 AÑOS</v>
      </c>
      <c r="I190" s="57">
        <v>5129.1478084036989</v>
      </c>
      <c r="J190" s="58">
        <v>6282.01</v>
      </c>
      <c r="K190" s="108">
        <f>J190-I190</f>
        <v>1152.8621915963013</v>
      </c>
      <c r="L190" s="173">
        <f>K190*100/I190</f>
        <v>22.476681013314309</v>
      </c>
      <c r="M190" s="60" t="s">
        <v>299</v>
      </c>
      <c r="N190" s="61">
        <f>I190*0.2247711</f>
        <v>1152.8841949574887</v>
      </c>
      <c r="O190" s="58">
        <f t="shared" si="222"/>
        <v>6282.0320033611879</v>
      </c>
      <c r="P190" s="61">
        <f t="shared" si="223"/>
        <v>12564.064006722376</v>
      </c>
      <c r="Q190" s="61">
        <f t="shared" si="224"/>
        <v>9423.0480050417827</v>
      </c>
      <c r="R190" s="61">
        <f t="shared" si="225"/>
        <v>3141.0160016805939</v>
      </c>
      <c r="S190" s="61">
        <f t="shared" si="226"/>
        <v>418.8021335574125</v>
      </c>
      <c r="T190" s="58">
        <f t="shared" si="227"/>
        <v>480.74296911055376</v>
      </c>
      <c r="U190" s="61">
        <f t="shared" si="228"/>
        <v>4711.5240025208914</v>
      </c>
      <c r="V190" s="58">
        <f t="shared" si="229"/>
        <v>1570.508000840297</v>
      </c>
      <c r="W190" s="101">
        <v>7.4999999999999997E-2</v>
      </c>
      <c r="X190" s="63">
        <f t="shared" si="230"/>
        <v>942.30480050417816</v>
      </c>
      <c r="Y190" s="61">
        <v>712.26</v>
      </c>
      <c r="Z190" s="61">
        <v>0</v>
      </c>
      <c r="AA190" s="61">
        <f t="shared" si="231"/>
        <v>1570.5080008402967</v>
      </c>
      <c r="AB190" s="61">
        <f t="shared" si="232"/>
        <v>314.10160016805941</v>
      </c>
      <c r="AC190" s="61">
        <v>2088.270572034191</v>
      </c>
      <c r="AD190" s="61">
        <v>1260.0471632923163</v>
      </c>
      <c r="AE190" s="61">
        <v>745.14912081154125</v>
      </c>
      <c r="AF190" s="61">
        <v>0</v>
      </c>
      <c r="AG190" s="61">
        <f t="shared" si="233"/>
        <v>433.46020823192197</v>
      </c>
      <c r="AH190" s="64"/>
      <c r="AI190" s="64"/>
      <c r="AJ190" s="365">
        <v>51</v>
      </c>
      <c r="AK190" s="372" t="s">
        <v>66</v>
      </c>
      <c r="AL190" s="365">
        <v>6021</v>
      </c>
      <c r="AM190" s="371" t="s">
        <v>296</v>
      </c>
      <c r="AN190" s="371" t="s">
        <v>298</v>
      </c>
      <c r="AO190" s="368">
        <f t="shared" ref="AO190:AP190" si="250">Q190*3</f>
        <v>28269.144015125348</v>
      </c>
      <c r="AP190" s="368">
        <f t="shared" si="250"/>
        <v>9423.0480050417827</v>
      </c>
      <c r="AQ190" s="368">
        <f t="shared" ref="AQ190:AZ190" si="251">X190*3</f>
        <v>2826.9144015125344</v>
      </c>
      <c r="AR190" s="368">
        <f t="shared" si="251"/>
        <v>2136.7799999999997</v>
      </c>
      <c r="AS190" s="368">
        <f t="shared" si="251"/>
        <v>0</v>
      </c>
      <c r="AT190" s="368">
        <f t="shared" si="251"/>
        <v>4711.5240025208905</v>
      </c>
      <c r="AU190" s="368">
        <f t="shared" si="251"/>
        <v>942.30480050417827</v>
      </c>
      <c r="AV190" s="368">
        <f t="shared" si="251"/>
        <v>6264.811716102573</v>
      </c>
      <c r="AW190" s="368">
        <f t="shared" si="251"/>
        <v>3780.141489876949</v>
      </c>
      <c r="AX190" s="368">
        <f t="shared" si="251"/>
        <v>2235.4473624346238</v>
      </c>
      <c r="AY190" s="368">
        <f t="shared" si="251"/>
        <v>0</v>
      </c>
      <c r="AZ190" s="368">
        <f t="shared" si="251"/>
        <v>1300.3806246957658</v>
      </c>
      <c r="BB190" s="64"/>
      <c r="BC190" s="66"/>
      <c r="BD190" s="66"/>
      <c r="BE190" s="66"/>
    </row>
    <row r="191" spans="1:177" ht="21" customHeight="1" x14ac:dyDescent="0.2">
      <c r="B191" s="67">
        <v>52</v>
      </c>
      <c r="C191" s="73" t="s">
        <v>66</v>
      </c>
      <c r="D191" s="67">
        <v>6084</v>
      </c>
      <c r="E191" s="72" t="s">
        <v>300</v>
      </c>
      <c r="F191" s="72" t="s">
        <v>297</v>
      </c>
      <c r="G191" s="56">
        <v>39814</v>
      </c>
      <c r="H191" s="56" t="str">
        <f t="shared" si="220"/>
        <v>15 AÑOS</v>
      </c>
      <c r="I191" s="57">
        <v>5129.1478084036989</v>
      </c>
      <c r="J191" s="58"/>
      <c r="K191" s="58"/>
      <c r="L191" s="59"/>
      <c r="M191" s="60">
        <v>4.0000000000000002E-4</v>
      </c>
      <c r="N191" s="61">
        <f t="shared" si="221"/>
        <v>205.16591233614795</v>
      </c>
      <c r="O191" s="58">
        <f t="shared" si="222"/>
        <v>5334.3137207398468</v>
      </c>
      <c r="P191" s="61">
        <f t="shared" si="223"/>
        <v>10668.627441479694</v>
      </c>
      <c r="Q191" s="61">
        <f t="shared" si="224"/>
        <v>8001.4705811097701</v>
      </c>
      <c r="R191" s="61">
        <f t="shared" si="225"/>
        <v>2667.1568603699234</v>
      </c>
      <c r="S191" s="61">
        <f t="shared" si="226"/>
        <v>355.62091471598978</v>
      </c>
      <c r="T191" s="58">
        <f t="shared" si="227"/>
        <v>408.21724800248467</v>
      </c>
      <c r="U191" s="61">
        <f t="shared" si="228"/>
        <v>4000.7352905548851</v>
      </c>
      <c r="V191" s="58">
        <f t="shared" si="229"/>
        <v>1333.5784301849617</v>
      </c>
      <c r="W191" s="101">
        <v>7.4999999999999997E-2</v>
      </c>
      <c r="X191" s="63">
        <f t="shared" si="230"/>
        <v>800.14705811097701</v>
      </c>
      <c r="Y191" s="61">
        <v>557.59926322474291</v>
      </c>
      <c r="Z191" s="61">
        <v>0</v>
      </c>
      <c r="AA191" s="61">
        <f t="shared" si="231"/>
        <v>1333.5784301849617</v>
      </c>
      <c r="AB191" s="61">
        <f t="shared" si="232"/>
        <v>266.71568603699234</v>
      </c>
      <c r="AC191" s="61">
        <v>1855.9674528006528</v>
      </c>
      <c r="AD191" s="61">
        <v>1013.0115117805658</v>
      </c>
      <c r="AE191" s="61">
        <v>632.73673440385119</v>
      </c>
      <c r="AF191" s="61">
        <v>0</v>
      </c>
      <c r="AG191" s="61">
        <f t="shared" si="233"/>
        <v>368.06764673104942</v>
      </c>
      <c r="AH191" s="64"/>
      <c r="AI191" s="64"/>
      <c r="AJ191" s="67">
        <v>52</v>
      </c>
      <c r="AK191" s="73" t="s">
        <v>66</v>
      </c>
      <c r="AL191" s="67">
        <v>6084</v>
      </c>
      <c r="AM191" s="72" t="s">
        <v>300</v>
      </c>
      <c r="AN191" s="72" t="s">
        <v>297</v>
      </c>
      <c r="AO191" s="138">
        <f>Q191*12</f>
        <v>96017.646973317242</v>
      </c>
      <c r="AP191" s="65">
        <f>R191*12</f>
        <v>32005.882324439081</v>
      </c>
      <c r="AQ191" s="65">
        <f t="shared" ref="AQ191:AZ191" si="252">X191*12</f>
        <v>9601.7646973317242</v>
      </c>
      <c r="AR191" s="65">
        <f t="shared" si="252"/>
        <v>6691.1911586969145</v>
      </c>
      <c r="AS191" s="65">
        <f t="shared" si="252"/>
        <v>0</v>
      </c>
      <c r="AT191" s="65">
        <f t="shared" si="252"/>
        <v>16002.94116221954</v>
      </c>
      <c r="AU191" s="65">
        <f t="shared" si="252"/>
        <v>3200.5882324439081</v>
      </c>
      <c r="AV191" s="65">
        <f t="shared" si="252"/>
        <v>22271.609433607835</v>
      </c>
      <c r="AW191" s="65">
        <f t="shared" si="252"/>
        <v>12156.13814136679</v>
      </c>
      <c r="AX191" s="65">
        <f t="shared" si="252"/>
        <v>7592.8408128462142</v>
      </c>
      <c r="AY191" s="65">
        <f t="shared" si="252"/>
        <v>0</v>
      </c>
      <c r="AZ191" s="65">
        <f t="shared" si="252"/>
        <v>4416.8117607725926</v>
      </c>
      <c r="BB191" s="64"/>
      <c r="BC191" s="66"/>
      <c r="BD191" s="66"/>
      <c r="BE191" s="66"/>
    </row>
    <row r="192" spans="1:177" s="96" customFormat="1" ht="21" customHeight="1" x14ac:dyDescent="0.2">
      <c r="A192" s="50"/>
      <c r="B192" s="194" t="s">
        <v>99</v>
      </c>
      <c r="C192" s="195"/>
      <c r="D192" s="139"/>
      <c r="E192" s="143">
        <f>B191</f>
        <v>52</v>
      </c>
      <c r="F192" s="166" t="s">
        <v>100</v>
      </c>
      <c r="G192" s="139"/>
      <c r="H192" s="89"/>
      <c r="I192" s="91">
        <f>SUM(I158:I191)</f>
        <v>185841.66728724295</v>
      </c>
      <c r="J192" s="91">
        <f t="shared" ref="J192:AG192" si="253">SUM(J158:J191)</f>
        <v>6282.01</v>
      </c>
      <c r="K192" s="91">
        <f t="shared" si="253"/>
        <v>1152.8621915963013</v>
      </c>
      <c r="L192" s="91">
        <f t="shared" si="253"/>
        <v>22.476681013314309</v>
      </c>
      <c r="M192" s="91">
        <f t="shared" si="253"/>
        <v>1.3199999999999993E-2</v>
      </c>
      <c r="N192" s="91">
        <f t="shared" si="253"/>
        <v>8381.3849741110589</v>
      </c>
      <c r="O192" s="91">
        <f t="shared" si="253"/>
        <v>194223.05226135402</v>
      </c>
      <c r="P192" s="91">
        <f t="shared" si="253"/>
        <v>388446.10452270805</v>
      </c>
      <c r="Q192" s="91">
        <f t="shared" si="253"/>
        <v>291334.5783920309</v>
      </c>
      <c r="R192" s="91">
        <f t="shared" si="253"/>
        <v>97111.526130677012</v>
      </c>
      <c r="S192" s="91">
        <f t="shared" si="253"/>
        <v>12948.203484090267</v>
      </c>
      <c r="T192" s="91">
        <f t="shared" si="253"/>
        <v>14863.242779387212</v>
      </c>
      <c r="U192" s="91">
        <f t="shared" si="253"/>
        <v>145667.28919601545</v>
      </c>
      <c r="V192" s="91">
        <f t="shared" si="253"/>
        <v>48555.763065338506</v>
      </c>
      <c r="W192" s="91">
        <f t="shared" si="253"/>
        <v>1.8999999999999995</v>
      </c>
      <c r="X192" s="91">
        <f t="shared" si="253"/>
        <v>21507.471001375845</v>
      </c>
      <c r="Y192" s="91">
        <f t="shared" si="253"/>
        <v>19291.955529492545</v>
      </c>
      <c r="Z192" s="91">
        <f t="shared" si="253"/>
        <v>0</v>
      </c>
      <c r="AA192" s="91">
        <f t="shared" si="253"/>
        <v>48555.763065338506</v>
      </c>
      <c r="AB192" s="91">
        <f t="shared" si="253"/>
        <v>9711.1526130677012</v>
      </c>
      <c r="AC192" s="91">
        <f t="shared" si="253"/>
        <v>66262.977759784015</v>
      </c>
      <c r="AD192" s="91">
        <f t="shared" si="253"/>
        <v>37883.446435546597</v>
      </c>
      <c r="AE192" s="91">
        <f t="shared" si="253"/>
        <v>23038.023826740366</v>
      </c>
      <c r="AF192" s="91">
        <f t="shared" si="253"/>
        <v>0</v>
      </c>
      <c r="AG192" s="91">
        <f t="shared" si="253"/>
        <v>13401.390606033421</v>
      </c>
      <c r="AH192" s="92"/>
      <c r="AI192" s="92"/>
      <c r="AJ192" s="194" t="s">
        <v>99</v>
      </c>
      <c r="AK192" s="195"/>
      <c r="AL192" s="139"/>
      <c r="AM192" s="143">
        <f>AJ191</f>
        <v>52</v>
      </c>
      <c r="AN192" s="166" t="s">
        <v>100</v>
      </c>
      <c r="AO192" s="144">
        <f>SUM(AO158:AO191)+162223.1</f>
        <v>3451537.855858996</v>
      </c>
      <c r="AP192" s="144">
        <f>SUM(AP158:AP191)+54074.37</f>
        <v>1150512.621952998</v>
      </c>
      <c r="AQ192" s="144">
        <f>SUM(AQ158:AQ191)+10208.32</f>
        <v>259817.22881197263</v>
      </c>
      <c r="AR192" s="144">
        <f>SUM(AR158:AR191)+7653.74</f>
        <v>220985.9363539106</v>
      </c>
      <c r="AS192" s="144">
        <f t="shared" ref="AS192:AY192" si="254">SUM(AS158:AS191)</f>
        <v>0</v>
      </c>
      <c r="AT192" s="144">
        <f>SUM(AT158:AT191)+27037.18</f>
        <v>575256.30597649899</v>
      </c>
      <c r="AU192" s="144">
        <f>SUM(AU158:AU191)+5407.44</f>
        <v>115051.26519529987</v>
      </c>
      <c r="AV192" s="144">
        <f>SUM(AV158:AV191)+38574.63</f>
        <v>790081.11840093706</v>
      </c>
      <c r="AW192" s="144">
        <f>SUM(AW158:AW191)+20421.99</f>
        <v>447383.40600199602</v>
      </c>
      <c r="AX192" s="144">
        <f>SUM(AX158:AX191)+12828.21</f>
        <v>272939.17290221894</v>
      </c>
      <c r="AY192" s="144">
        <f t="shared" si="254"/>
        <v>0</v>
      </c>
      <c r="AZ192" s="144">
        <f>SUM(AZ158:AZ191)+7462.26</f>
        <v>158770.73876951382</v>
      </c>
      <c r="BA192" s="94"/>
      <c r="BB192" s="92"/>
      <c r="BC192" s="95"/>
      <c r="BD192" s="95"/>
      <c r="BE192" s="95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  <c r="FP192" s="50"/>
      <c r="FQ192" s="50"/>
      <c r="FR192" s="50"/>
      <c r="FS192" s="50"/>
      <c r="FT192" s="50"/>
      <c r="FU192" s="50"/>
    </row>
    <row r="193" spans="1:177" ht="21" customHeight="1" x14ac:dyDescent="0.2">
      <c r="B193" s="196" t="s">
        <v>101</v>
      </c>
      <c r="C193" s="197"/>
      <c r="D193" s="168"/>
      <c r="E193" s="76">
        <v>52</v>
      </c>
      <c r="F193" s="122" t="s">
        <v>301</v>
      </c>
      <c r="G193" s="146"/>
      <c r="H193" s="147"/>
      <c r="I193" s="57">
        <f t="shared" ref="I193:AG193" si="255">I157+I192</f>
        <v>352960.65817655006</v>
      </c>
      <c r="J193" s="57">
        <f t="shared" si="255"/>
        <v>17733.39</v>
      </c>
      <c r="K193" s="57">
        <f t="shared" si="255"/>
        <v>3154.5341944123011</v>
      </c>
      <c r="L193" s="74">
        <f t="shared" si="255"/>
        <v>43.659049859129389</v>
      </c>
      <c r="M193" s="57">
        <f t="shared" si="255"/>
        <v>2.1717999999999994E-2</v>
      </c>
      <c r="N193" s="57">
        <f t="shared" si="255"/>
        <v>16689.604443599554</v>
      </c>
      <c r="O193" s="57">
        <f t="shared" si="255"/>
        <v>369650.26262014959</v>
      </c>
      <c r="P193" s="57">
        <f t="shared" si="255"/>
        <v>739300.52524029918</v>
      </c>
      <c r="Q193" s="57">
        <f t="shared" si="255"/>
        <v>554475.39393022424</v>
      </c>
      <c r="R193" s="57">
        <f t="shared" si="255"/>
        <v>184825.13131007479</v>
      </c>
      <c r="S193" s="57">
        <f t="shared" si="255"/>
        <v>24643.350841343308</v>
      </c>
      <c r="T193" s="57">
        <f t="shared" si="255"/>
        <v>28288.102430777973</v>
      </c>
      <c r="U193" s="81">
        <f t="shared" si="255"/>
        <v>277237.69696511212</v>
      </c>
      <c r="V193" s="57">
        <f t="shared" si="255"/>
        <v>92412.565655037397</v>
      </c>
      <c r="W193" s="57">
        <f t="shared" si="255"/>
        <v>1.8999999999999995</v>
      </c>
      <c r="X193" s="57">
        <f t="shared" si="255"/>
        <v>21507.471001375845</v>
      </c>
      <c r="Y193" s="57">
        <f t="shared" si="255"/>
        <v>49066.052318225644</v>
      </c>
      <c r="Z193" s="57">
        <f t="shared" si="255"/>
        <v>0</v>
      </c>
      <c r="AA193" s="57">
        <f t="shared" si="255"/>
        <v>92412.565655037397</v>
      </c>
      <c r="AB193" s="57">
        <f t="shared" si="255"/>
        <v>18482.513131007483</v>
      </c>
      <c r="AC193" s="57">
        <f t="shared" si="255"/>
        <v>118587.21565832139</v>
      </c>
      <c r="AD193" s="57">
        <f t="shared" si="255"/>
        <v>73070.720132101444</v>
      </c>
      <c r="AE193" s="57">
        <f t="shared" si="255"/>
        <v>43846.583079581789</v>
      </c>
      <c r="AF193" s="57">
        <f t="shared" si="255"/>
        <v>0</v>
      </c>
      <c r="AG193" s="57">
        <f t="shared" si="255"/>
        <v>25505.868120790314</v>
      </c>
      <c r="AH193" s="92">
        <f>Q193+R193-Y193+Z193+X193+AA193+AB193+AC193+AD193+AE193+AF193+AG193</f>
        <v>1083647.4097002889</v>
      </c>
      <c r="AI193" s="92">
        <f>AH193*12</f>
        <v>13003768.916403467</v>
      </c>
      <c r="AJ193" s="196" t="s">
        <v>101</v>
      </c>
      <c r="AK193" s="197"/>
      <c r="AL193" s="168"/>
      <c r="AM193" s="76">
        <v>52</v>
      </c>
      <c r="AN193" s="122" t="s">
        <v>301</v>
      </c>
      <c r="AO193" s="148">
        <f t="shared" ref="AO193:AZ193" si="256">AO157+AO192</f>
        <v>6585413.8830046272</v>
      </c>
      <c r="AP193" s="148">
        <f t="shared" si="256"/>
        <v>2195137.9643348749</v>
      </c>
      <c r="AQ193" s="148">
        <f t="shared" si="256"/>
        <v>259817.22881197263</v>
      </c>
      <c r="AR193" s="148">
        <f t="shared" si="256"/>
        <v>575649.28274909407</v>
      </c>
      <c r="AS193" s="148">
        <f t="shared" si="256"/>
        <v>0</v>
      </c>
      <c r="AT193" s="148">
        <f t="shared" si="256"/>
        <v>1097568.9771674376</v>
      </c>
      <c r="AU193" s="148">
        <f t="shared" si="256"/>
        <v>219513.79943348758</v>
      </c>
      <c r="AV193" s="148">
        <f t="shared" si="256"/>
        <v>1414080.3085829013</v>
      </c>
      <c r="AW193" s="148">
        <f t="shared" si="256"/>
        <v>866446.21808329644</v>
      </c>
      <c r="AX193" s="148">
        <f t="shared" si="256"/>
        <v>520758.69689470879</v>
      </c>
      <c r="AY193" s="148">
        <f t="shared" si="256"/>
        <v>0</v>
      </c>
      <c r="AZ193" s="148">
        <f t="shared" si="256"/>
        <v>302929.03741821286</v>
      </c>
      <c r="BA193" s="94"/>
      <c r="BB193" s="92">
        <f>AO193+AP193+AQ193-AR193+AS193+AU193+AV193+AT193+AW193+AX193+AY193+AZ193</f>
        <v>12886016.830982424</v>
      </c>
      <c r="BC193" s="95"/>
      <c r="BD193" s="95"/>
      <c r="BE193" s="95"/>
    </row>
    <row r="194" spans="1:177" ht="21" customHeight="1" x14ac:dyDescent="0.2">
      <c r="B194" s="457" t="s">
        <v>103</v>
      </c>
      <c r="C194" s="458"/>
      <c r="D194" s="458"/>
      <c r="E194" s="76">
        <f>E192-E193</f>
        <v>0</v>
      </c>
      <c r="F194" s="76"/>
      <c r="G194" s="479"/>
      <c r="H194" s="479"/>
      <c r="I194" s="479"/>
      <c r="J194" s="479"/>
      <c r="K194" s="479"/>
      <c r="L194" s="479"/>
      <c r="M194" s="479"/>
      <c r="N194" s="479"/>
      <c r="O194" s="479"/>
      <c r="P194" s="479"/>
      <c r="Q194" s="479"/>
      <c r="R194" s="479"/>
      <c r="S194" s="479"/>
      <c r="T194" s="479"/>
      <c r="U194" s="479"/>
      <c r="V194" s="479"/>
      <c r="W194" s="479"/>
      <c r="X194" s="479"/>
      <c r="Y194" s="479"/>
      <c r="Z194" s="479"/>
      <c r="AA194" s="479"/>
      <c r="AB194" s="479"/>
      <c r="AC194" s="479"/>
      <c r="AD194" s="479"/>
      <c r="AE194" s="479"/>
      <c r="AF194" s="479"/>
      <c r="AG194" s="480"/>
      <c r="AH194" s="92"/>
      <c r="AI194" s="92"/>
      <c r="AJ194" s="457" t="s">
        <v>103</v>
      </c>
      <c r="AK194" s="458"/>
      <c r="AL194" s="458"/>
      <c r="AM194" s="76">
        <f>AM192-AM193</f>
        <v>0</v>
      </c>
      <c r="AN194" s="76"/>
      <c r="AO194" s="481"/>
      <c r="AP194" s="482"/>
      <c r="AQ194" s="482"/>
      <c r="AR194" s="482"/>
      <c r="AS194" s="482"/>
      <c r="AT194" s="482"/>
      <c r="AU194" s="482"/>
      <c r="AV194" s="482"/>
      <c r="AW194" s="482"/>
      <c r="AX194" s="482"/>
      <c r="AY194" s="482"/>
      <c r="AZ194" s="483"/>
      <c r="BA194" s="152"/>
      <c r="BB194" s="92"/>
      <c r="BC194" s="95"/>
      <c r="BD194" s="95"/>
      <c r="BE194" s="95"/>
    </row>
    <row r="195" spans="1:177" ht="21" customHeight="1" x14ac:dyDescent="0.2">
      <c r="B195" s="5"/>
      <c r="C195" s="94"/>
      <c r="D195" s="5"/>
      <c r="E195" s="94"/>
      <c r="G195" s="27"/>
      <c r="H195" s="27"/>
      <c r="I195" s="95"/>
      <c r="J195" s="95"/>
      <c r="K195" s="95"/>
      <c r="L195" s="27"/>
      <c r="M195" s="128"/>
      <c r="N195" s="66"/>
      <c r="O195" s="95"/>
      <c r="P195" s="66"/>
      <c r="Q195" s="66"/>
      <c r="R195" s="66"/>
      <c r="S195" s="66"/>
      <c r="T195" s="95"/>
      <c r="U195" s="66"/>
      <c r="V195" s="95"/>
      <c r="W195" s="129"/>
      <c r="X195" s="130"/>
      <c r="Y195" s="66"/>
      <c r="Z195" s="66"/>
      <c r="AA195" s="66"/>
      <c r="AB195" s="66"/>
      <c r="AC195" s="66"/>
      <c r="AD195" s="66"/>
      <c r="AE195" s="66"/>
      <c r="AF195" s="66"/>
      <c r="AG195" s="66"/>
      <c r="AH195" s="64"/>
      <c r="AI195" s="64"/>
      <c r="AJ195" s="5"/>
      <c r="AK195" s="94"/>
      <c r="AL195" s="5"/>
      <c r="AM195" s="94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2"/>
      <c r="BB195" s="92"/>
      <c r="BC195" s="95"/>
      <c r="BD195" s="95"/>
      <c r="BE195" s="95"/>
    </row>
    <row r="196" spans="1:177" ht="21" customHeight="1" thickBot="1" x14ac:dyDescent="0.25">
      <c r="B196" s="5"/>
      <c r="C196" s="94"/>
      <c r="D196" s="5"/>
      <c r="E196" s="94"/>
      <c r="G196" s="27"/>
      <c r="H196" s="27"/>
      <c r="I196" s="95"/>
      <c r="J196" s="95"/>
      <c r="K196" s="95"/>
      <c r="L196" s="27"/>
      <c r="M196" s="128"/>
      <c r="N196" s="66"/>
      <c r="O196" s="95"/>
      <c r="P196" s="66"/>
      <c r="Q196" s="66"/>
      <c r="R196" s="66"/>
      <c r="S196" s="66"/>
      <c r="T196" s="95"/>
      <c r="U196" s="66"/>
      <c r="V196" s="95"/>
      <c r="W196" s="129"/>
      <c r="X196" s="130"/>
      <c r="Y196" s="66"/>
      <c r="Z196" s="66"/>
      <c r="AA196" s="66"/>
      <c r="AB196" s="66"/>
      <c r="AC196" s="66"/>
      <c r="AD196" s="66"/>
      <c r="AE196" s="66"/>
      <c r="AF196" s="66"/>
      <c r="AG196" s="66"/>
      <c r="AH196" s="64"/>
      <c r="AI196" s="64"/>
      <c r="AJ196" s="5"/>
      <c r="AK196" s="94"/>
      <c r="AL196" s="5"/>
      <c r="AM196" s="94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2"/>
      <c r="BB196" s="92"/>
      <c r="BC196" s="95"/>
      <c r="BD196" s="95"/>
      <c r="BE196" s="95"/>
    </row>
    <row r="197" spans="1:177" s="134" customFormat="1" ht="21" customHeight="1" thickBot="1" x14ac:dyDescent="0.25">
      <c r="A197" s="94"/>
      <c r="B197" s="463" t="s">
        <v>302</v>
      </c>
      <c r="C197" s="464"/>
      <c r="D197" s="464"/>
      <c r="E197" s="465"/>
      <c r="F197" s="466" t="s">
        <v>4</v>
      </c>
      <c r="G197" s="7" t="s">
        <v>5</v>
      </c>
      <c r="H197" s="8" t="s">
        <v>6</v>
      </c>
      <c r="I197" s="9" t="s">
        <v>7</v>
      </c>
      <c r="J197" s="9"/>
      <c r="K197" s="9"/>
      <c r="L197" s="9"/>
      <c r="M197" s="10">
        <v>4.0000000000000002E-4</v>
      </c>
      <c r="N197" s="11" t="s">
        <v>8</v>
      </c>
      <c r="O197" s="12" t="s">
        <v>9</v>
      </c>
      <c r="P197" s="12" t="s">
        <v>10</v>
      </c>
      <c r="Q197" s="13" t="s">
        <v>11</v>
      </c>
      <c r="R197" s="12" t="s">
        <v>12</v>
      </c>
      <c r="S197" s="14" t="s">
        <v>11</v>
      </c>
      <c r="T197" s="15" t="s">
        <v>13</v>
      </c>
      <c r="U197" s="16" t="s">
        <v>11</v>
      </c>
      <c r="V197" s="17" t="s">
        <v>12</v>
      </c>
      <c r="W197" s="18" t="s">
        <v>14</v>
      </c>
      <c r="X197" s="19" t="s">
        <v>15</v>
      </c>
      <c r="Y197" s="15" t="s">
        <v>16</v>
      </c>
      <c r="Z197" s="13" t="s">
        <v>17</v>
      </c>
      <c r="AA197" s="20" t="s">
        <v>18</v>
      </c>
      <c r="AB197" s="17" t="s">
        <v>19</v>
      </c>
      <c r="AC197" s="13" t="s">
        <v>20</v>
      </c>
      <c r="AD197" s="13" t="s">
        <v>21</v>
      </c>
      <c r="AE197" s="13" t="s">
        <v>22</v>
      </c>
      <c r="AF197" s="17" t="s">
        <v>23</v>
      </c>
      <c r="AG197" s="12" t="s">
        <v>24</v>
      </c>
      <c r="AH197" s="132"/>
      <c r="AI197" s="132"/>
      <c r="AJ197" s="463" t="s">
        <v>302</v>
      </c>
      <c r="AK197" s="464"/>
      <c r="AL197" s="464"/>
      <c r="AM197" s="465"/>
      <c r="AN197" s="466" t="s">
        <v>4</v>
      </c>
      <c r="AO197" s="22" t="s">
        <v>11</v>
      </c>
      <c r="AP197" s="12" t="s">
        <v>12</v>
      </c>
      <c r="AQ197" s="23" t="s">
        <v>15</v>
      </c>
      <c r="AR197" s="22" t="s">
        <v>16</v>
      </c>
      <c r="AS197" s="22" t="s">
        <v>25</v>
      </c>
      <c r="AT197" s="20" t="s">
        <v>26</v>
      </c>
      <c r="AU197" s="24" t="s">
        <v>27</v>
      </c>
      <c r="AV197" s="23" t="s">
        <v>20</v>
      </c>
      <c r="AW197" s="22" t="s">
        <v>28</v>
      </c>
      <c r="AX197" s="22" t="s">
        <v>29</v>
      </c>
      <c r="AY197" s="25" t="s">
        <v>23</v>
      </c>
      <c r="AZ197" s="24" t="s">
        <v>24</v>
      </c>
      <c r="BA197" s="94"/>
      <c r="BB197" s="92"/>
      <c r="BC197" s="95"/>
      <c r="BD197" s="95"/>
      <c r="BE197" s="95"/>
      <c r="BF197" s="94"/>
      <c r="BG197" s="94"/>
      <c r="BH197" s="94"/>
      <c r="BI197" s="94"/>
      <c r="BJ197" s="94"/>
      <c r="BK197" s="94"/>
      <c r="BL197" s="94"/>
      <c r="BM197" s="94"/>
      <c r="BN197" s="94"/>
      <c r="BO197" s="94"/>
      <c r="BP197" s="94"/>
      <c r="BQ197" s="94"/>
      <c r="BR197" s="94"/>
      <c r="BS197" s="94"/>
      <c r="BT197" s="94"/>
      <c r="BU197" s="94"/>
      <c r="BV197" s="94"/>
      <c r="BW197" s="94"/>
      <c r="BX197" s="94"/>
      <c r="BY197" s="94"/>
      <c r="BZ197" s="94"/>
      <c r="CA197" s="94"/>
      <c r="CB197" s="94"/>
      <c r="CC197" s="94"/>
      <c r="CD197" s="94"/>
      <c r="CE197" s="94"/>
      <c r="CF197" s="94"/>
      <c r="CG197" s="94"/>
      <c r="CH197" s="94"/>
      <c r="CI197" s="94"/>
      <c r="CJ197" s="94"/>
      <c r="CK197" s="94"/>
      <c r="CL197" s="94"/>
      <c r="CM197" s="94"/>
      <c r="CN197" s="94"/>
      <c r="CO197" s="94"/>
      <c r="CP197" s="94"/>
      <c r="CQ197" s="94"/>
      <c r="CR197" s="94"/>
      <c r="CS197" s="94"/>
      <c r="CT197" s="94"/>
      <c r="CU197" s="94"/>
      <c r="CV197" s="94"/>
      <c r="CW197" s="94"/>
      <c r="CX197" s="94"/>
      <c r="CY197" s="94"/>
      <c r="CZ197" s="94"/>
      <c r="DA197" s="94"/>
      <c r="DB197" s="94"/>
      <c r="DC197" s="94"/>
      <c r="DD197" s="94"/>
      <c r="DE197" s="94"/>
      <c r="DF197" s="94"/>
      <c r="DG197" s="94"/>
      <c r="DH197" s="94"/>
      <c r="DI197" s="94"/>
      <c r="DJ197" s="94"/>
      <c r="DK197" s="94"/>
      <c r="DL197" s="94"/>
      <c r="DM197" s="94"/>
      <c r="DN197" s="94"/>
      <c r="DO197" s="94"/>
      <c r="DP197" s="94"/>
      <c r="DQ197" s="94"/>
      <c r="DR197" s="94"/>
      <c r="DS197" s="94"/>
      <c r="DT197" s="94"/>
      <c r="DU197" s="94"/>
      <c r="DV197" s="94"/>
      <c r="DW197" s="94"/>
      <c r="DX197" s="94"/>
      <c r="DY197" s="94"/>
      <c r="DZ197" s="94"/>
      <c r="EA197" s="94"/>
      <c r="EB197" s="94"/>
      <c r="EC197" s="94"/>
      <c r="ED197" s="94"/>
      <c r="EE197" s="94"/>
      <c r="EF197" s="94"/>
      <c r="EG197" s="94"/>
      <c r="EH197" s="94"/>
      <c r="EI197" s="94"/>
      <c r="EJ197" s="94"/>
      <c r="EK197" s="94"/>
      <c r="EL197" s="94"/>
      <c r="EM197" s="94"/>
      <c r="EN197" s="94"/>
      <c r="EO197" s="94"/>
      <c r="EP197" s="94"/>
      <c r="EQ197" s="94"/>
      <c r="ER197" s="94"/>
      <c r="ES197" s="94"/>
      <c r="ET197" s="94"/>
      <c r="EU197" s="94"/>
      <c r="EV197" s="94"/>
      <c r="EW197" s="94"/>
      <c r="EX197" s="94"/>
      <c r="EY197" s="94"/>
      <c r="EZ197" s="94"/>
      <c r="FA197" s="94"/>
      <c r="FB197" s="94"/>
      <c r="FC197" s="94"/>
      <c r="FD197" s="94"/>
      <c r="FE197" s="94"/>
      <c r="FF197" s="94"/>
      <c r="FG197" s="94"/>
      <c r="FH197" s="94"/>
      <c r="FI197" s="94"/>
      <c r="FJ197" s="94"/>
      <c r="FK197" s="94"/>
      <c r="FL197" s="94"/>
      <c r="FM197" s="94"/>
      <c r="FN197" s="94"/>
      <c r="FO197" s="94"/>
      <c r="FP197" s="94"/>
      <c r="FQ197" s="94"/>
      <c r="FR197" s="94"/>
      <c r="FS197" s="94"/>
      <c r="FT197" s="94"/>
      <c r="FU197" s="94"/>
    </row>
    <row r="198" spans="1:177" s="134" customFormat="1" ht="21" customHeight="1" thickBot="1" x14ac:dyDescent="0.25">
      <c r="A198" s="94"/>
      <c r="B198" s="30" t="s">
        <v>30</v>
      </c>
      <c r="C198" s="6" t="s">
        <v>31</v>
      </c>
      <c r="D198" s="30" t="s">
        <v>105</v>
      </c>
      <c r="E198" s="32" t="s">
        <v>32</v>
      </c>
      <c r="F198" s="467"/>
      <c r="G198" s="33" t="s">
        <v>33</v>
      </c>
      <c r="H198" s="34">
        <v>45657</v>
      </c>
      <c r="I198" s="35">
        <v>2023</v>
      </c>
      <c r="J198" s="35"/>
      <c r="K198" s="35"/>
      <c r="L198" s="35"/>
      <c r="M198" s="36"/>
      <c r="N198" s="37"/>
      <c r="O198" s="38">
        <v>2024</v>
      </c>
      <c r="P198" s="39" t="s">
        <v>34</v>
      </c>
      <c r="Q198" s="40" t="s">
        <v>35</v>
      </c>
      <c r="R198" s="39" t="s">
        <v>36</v>
      </c>
      <c r="S198" s="41" t="s">
        <v>37</v>
      </c>
      <c r="T198" s="42" t="s">
        <v>38</v>
      </c>
      <c r="U198" s="43" t="s">
        <v>39</v>
      </c>
      <c r="V198" s="41" t="s">
        <v>39</v>
      </c>
      <c r="W198" s="44" t="s">
        <v>15</v>
      </c>
      <c r="X198" s="45" t="s">
        <v>35</v>
      </c>
      <c r="Y198" s="42" t="s">
        <v>35</v>
      </c>
      <c r="Z198" s="40" t="s">
        <v>35</v>
      </c>
      <c r="AA198" s="46" t="s">
        <v>35</v>
      </c>
      <c r="AB198" s="41" t="s">
        <v>35</v>
      </c>
      <c r="AC198" s="40" t="s">
        <v>35</v>
      </c>
      <c r="AD198" s="40" t="s">
        <v>35</v>
      </c>
      <c r="AE198" s="40" t="s">
        <v>35</v>
      </c>
      <c r="AF198" s="41" t="s">
        <v>35</v>
      </c>
      <c r="AG198" s="40" t="s">
        <v>35</v>
      </c>
      <c r="AH198" s="135"/>
      <c r="AI198" s="135"/>
      <c r="AJ198" s="30" t="s">
        <v>30</v>
      </c>
      <c r="AK198" s="6" t="s">
        <v>31</v>
      </c>
      <c r="AL198" s="30" t="s">
        <v>105</v>
      </c>
      <c r="AM198" s="32" t="s">
        <v>32</v>
      </c>
      <c r="AN198" s="467"/>
      <c r="AO198" s="40" t="s">
        <v>40</v>
      </c>
      <c r="AP198" s="39" t="s">
        <v>41</v>
      </c>
      <c r="AQ198" s="48" t="s">
        <v>40</v>
      </c>
      <c r="AR198" s="49" t="s">
        <v>40</v>
      </c>
      <c r="AS198" s="49" t="s">
        <v>40</v>
      </c>
      <c r="AT198" s="46" t="s">
        <v>40</v>
      </c>
      <c r="AU198" s="49" t="s">
        <v>40</v>
      </c>
      <c r="AV198" s="48" t="s">
        <v>40</v>
      </c>
      <c r="AW198" s="49" t="s">
        <v>40</v>
      </c>
      <c r="AX198" s="49" t="s">
        <v>40</v>
      </c>
      <c r="AY198" s="48" t="s">
        <v>40</v>
      </c>
      <c r="AZ198" s="49" t="s">
        <v>40</v>
      </c>
      <c r="BA198" s="94"/>
      <c r="BB198" s="92"/>
      <c r="BC198" s="95"/>
      <c r="BD198" s="95"/>
      <c r="BE198" s="95"/>
      <c r="BF198" s="94"/>
      <c r="BG198" s="94"/>
      <c r="BH198" s="94"/>
      <c r="BI198" s="94"/>
      <c r="BJ198" s="94"/>
      <c r="BK198" s="94"/>
      <c r="BL198" s="94"/>
      <c r="BM198" s="94"/>
      <c r="BN198" s="94"/>
      <c r="BO198" s="94"/>
      <c r="BP198" s="94"/>
      <c r="BQ198" s="94"/>
      <c r="BR198" s="94"/>
      <c r="BS198" s="94"/>
      <c r="BT198" s="94"/>
      <c r="BU198" s="94"/>
      <c r="BV198" s="94"/>
      <c r="BW198" s="94"/>
      <c r="BX198" s="94"/>
      <c r="BY198" s="94"/>
      <c r="BZ198" s="94"/>
      <c r="CA198" s="94"/>
      <c r="CB198" s="94"/>
      <c r="CC198" s="94"/>
      <c r="CD198" s="94"/>
      <c r="CE198" s="94"/>
      <c r="CF198" s="94"/>
      <c r="CG198" s="94"/>
      <c r="CH198" s="94"/>
      <c r="CI198" s="94"/>
      <c r="CJ198" s="94"/>
      <c r="CK198" s="94"/>
      <c r="CL198" s="94"/>
      <c r="CM198" s="94"/>
      <c r="CN198" s="94"/>
      <c r="CO198" s="94"/>
      <c r="CP198" s="94"/>
      <c r="CQ198" s="94"/>
      <c r="CR198" s="94"/>
      <c r="CS198" s="94"/>
      <c r="CT198" s="94"/>
      <c r="CU198" s="94"/>
      <c r="CV198" s="94"/>
      <c r="CW198" s="94"/>
      <c r="CX198" s="94"/>
      <c r="CY198" s="94"/>
      <c r="CZ198" s="94"/>
      <c r="DA198" s="94"/>
      <c r="DB198" s="94"/>
      <c r="DC198" s="94"/>
      <c r="DD198" s="94"/>
      <c r="DE198" s="94"/>
      <c r="DF198" s="94"/>
      <c r="DG198" s="94"/>
      <c r="DH198" s="94"/>
      <c r="DI198" s="94"/>
      <c r="DJ198" s="94"/>
      <c r="DK198" s="94"/>
      <c r="DL198" s="94"/>
      <c r="DM198" s="94"/>
      <c r="DN198" s="94"/>
      <c r="DO198" s="94"/>
      <c r="DP198" s="94"/>
      <c r="DQ198" s="94"/>
      <c r="DR198" s="94"/>
      <c r="DS198" s="94"/>
      <c r="DT198" s="94"/>
      <c r="DU198" s="94"/>
      <c r="DV198" s="94"/>
      <c r="DW198" s="94"/>
      <c r="DX198" s="94"/>
      <c r="DY198" s="94"/>
      <c r="DZ198" s="94"/>
      <c r="EA198" s="94"/>
      <c r="EB198" s="94"/>
      <c r="EC198" s="94"/>
      <c r="ED198" s="94"/>
      <c r="EE198" s="94"/>
      <c r="EF198" s="94"/>
      <c r="EG198" s="94"/>
      <c r="EH198" s="94"/>
      <c r="EI198" s="94"/>
      <c r="EJ198" s="94"/>
      <c r="EK198" s="94"/>
      <c r="EL198" s="94"/>
      <c r="EM198" s="94"/>
      <c r="EN198" s="94"/>
      <c r="EO198" s="94"/>
      <c r="EP198" s="94"/>
      <c r="EQ198" s="94"/>
      <c r="ER198" s="94"/>
      <c r="ES198" s="94"/>
      <c r="ET198" s="94"/>
      <c r="EU198" s="94"/>
      <c r="EV198" s="94"/>
      <c r="EW198" s="94"/>
      <c r="EX198" s="94"/>
      <c r="EY198" s="94"/>
      <c r="EZ198" s="94"/>
      <c r="FA198" s="94"/>
      <c r="FB198" s="94"/>
      <c r="FC198" s="94"/>
      <c r="FD198" s="94"/>
      <c r="FE198" s="94"/>
      <c r="FF198" s="94"/>
      <c r="FG198" s="94"/>
      <c r="FH198" s="94"/>
      <c r="FI198" s="94"/>
      <c r="FJ198" s="94"/>
      <c r="FK198" s="94"/>
      <c r="FL198" s="94"/>
      <c r="FM198" s="94"/>
      <c r="FN198" s="94"/>
      <c r="FO198" s="94"/>
      <c r="FP198" s="94"/>
      <c r="FQ198" s="94"/>
      <c r="FR198" s="94"/>
      <c r="FS198" s="94"/>
      <c r="FT198" s="94"/>
      <c r="FU198" s="94"/>
    </row>
    <row r="199" spans="1:177" ht="21" customHeight="1" x14ac:dyDescent="0.2">
      <c r="B199" s="51">
        <v>1</v>
      </c>
      <c r="C199" s="77" t="s">
        <v>42</v>
      </c>
      <c r="D199" s="51">
        <v>7071</v>
      </c>
      <c r="E199" s="53" t="s">
        <v>303</v>
      </c>
      <c r="F199" s="54" t="s">
        <v>304</v>
      </c>
      <c r="G199" s="157">
        <v>43482</v>
      </c>
      <c r="H199" s="56" t="str">
        <f t="shared" ref="H199:H206" si="257" xml:space="preserve"> CONCATENATE(DATEDIF(G199,H$5,"Y")," AÑOS")</f>
        <v>5 AÑOS</v>
      </c>
      <c r="I199" s="75">
        <v>8001.4298156742452</v>
      </c>
      <c r="J199" s="75"/>
      <c r="K199" s="75"/>
      <c r="L199" s="137"/>
      <c r="M199" s="60">
        <v>4.0000000000000002E-4</v>
      </c>
      <c r="N199" s="61">
        <f t="shared" ref="N199:N206" si="258">I199*0.04</f>
        <v>320.05719262696982</v>
      </c>
      <c r="O199" s="58">
        <f t="shared" ref="O199:O206" si="259">I199+N199</f>
        <v>8321.4870083012156</v>
      </c>
      <c r="P199" s="61">
        <f t="shared" ref="P199:P206" si="260">O199*2</f>
        <v>16642.974016602431</v>
      </c>
      <c r="Q199" s="61">
        <f t="shared" ref="Q199:Q206" si="261">P199*0.75</f>
        <v>12482.230512451824</v>
      </c>
      <c r="R199" s="61">
        <f t="shared" ref="R199:R206" si="262">P199*0.25</f>
        <v>4160.7435041506078</v>
      </c>
      <c r="S199" s="61">
        <f t="shared" ref="S199:S206" si="263">(P199/30)</f>
        <v>554.76580055341435</v>
      </c>
      <c r="T199" s="58">
        <f t="shared" si="227"/>
        <v>636.81566245526426</v>
      </c>
      <c r="U199" s="61">
        <f t="shared" ref="U199:U206" si="264">O199*0.75</f>
        <v>6241.1152562259122</v>
      </c>
      <c r="V199" s="58">
        <f t="shared" ref="V199:V206" si="265">O199*0.25</f>
        <v>2080.3717520753039</v>
      </c>
      <c r="W199" s="62">
        <v>0</v>
      </c>
      <c r="X199" s="63">
        <f t="shared" ref="X199:X206" si="266">P199*W199</f>
        <v>0</v>
      </c>
      <c r="Y199" s="61">
        <v>1122.1136819922917</v>
      </c>
      <c r="Z199" s="61">
        <v>0</v>
      </c>
      <c r="AA199" s="61">
        <f t="shared" ref="AA199:AA206" si="267">(S199*45)/12</f>
        <v>2080.3717520753039</v>
      </c>
      <c r="AB199" s="61">
        <f t="shared" ref="AB199:AB206" si="268">(S199*10)*(0.45*2)/12</f>
        <v>416.07435041506079</v>
      </c>
      <c r="AC199" s="61">
        <v>2588.1945316900924</v>
      </c>
      <c r="AD199" s="61">
        <v>1669.1256920783705</v>
      </c>
      <c r="AE199" s="61">
        <v>987.06427680565957</v>
      </c>
      <c r="AF199" s="61">
        <v>0</v>
      </c>
      <c r="AG199" s="61">
        <f t="shared" ref="AG199:AG206" si="269">(P199+AA199+AB199)*0.03</f>
        <v>574.18260357278382</v>
      </c>
      <c r="AH199" s="64"/>
      <c r="AI199" s="64"/>
      <c r="AJ199" s="51">
        <v>1</v>
      </c>
      <c r="AK199" s="77" t="s">
        <v>42</v>
      </c>
      <c r="AL199" s="51">
        <v>7071</v>
      </c>
      <c r="AM199" s="53" t="s">
        <v>303</v>
      </c>
      <c r="AN199" s="54" t="s">
        <v>304</v>
      </c>
      <c r="AO199" s="65">
        <f t="shared" ref="AO199:AP202" si="270">Q199*12</f>
        <v>149786.76614942189</v>
      </c>
      <c r="AP199" s="65">
        <f t="shared" si="270"/>
        <v>49928.922049807297</v>
      </c>
      <c r="AQ199" s="65">
        <f t="shared" ref="AQ199:AZ202" si="271">X199*12</f>
        <v>0</v>
      </c>
      <c r="AR199" s="65">
        <f t="shared" si="271"/>
        <v>13465.364183907501</v>
      </c>
      <c r="AS199" s="65">
        <f t="shared" si="271"/>
        <v>0</v>
      </c>
      <c r="AT199" s="65">
        <f t="shared" si="271"/>
        <v>24964.461024903649</v>
      </c>
      <c r="AU199" s="65">
        <f t="shared" si="271"/>
        <v>4992.8922049807297</v>
      </c>
      <c r="AV199" s="65">
        <f t="shared" si="271"/>
        <v>31058.334380281107</v>
      </c>
      <c r="AW199" s="65">
        <f t="shared" si="271"/>
        <v>20029.508304940446</v>
      </c>
      <c r="AX199" s="65">
        <f t="shared" si="271"/>
        <v>11844.771321667915</v>
      </c>
      <c r="AY199" s="65">
        <f t="shared" si="271"/>
        <v>0</v>
      </c>
      <c r="AZ199" s="65">
        <f t="shared" si="271"/>
        <v>6890.1912428734058</v>
      </c>
      <c r="BB199" s="64"/>
      <c r="BC199" s="66"/>
      <c r="BD199" s="66"/>
      <c r="BE199" s="66"/>
    </row>
    <row r="200" spans="1:177" ht="21" customHeight="1" x14ac:dyDescent="0.2">
      <c r="B200" s="67">
        <v>2</v>
      </c>
      <c r="C200" s="73" t="s">
        <v>42</v>
      </c>
      <c r="D200" s="67">
        <v>7069</v>
      </c>
      <c r="E200" s="72" t="s">
        <v>305</v>
      </c>
      <c r="F200" s="79" t="s">
        <v>306</v>
      </c>
      <c r="G200" s="123">
        <v>43481</v>
      </c>
      <c r="H200" s="56" t="str">
        <f t="shared" si="257"/>
        <v>5 AÑOS</v>
      </c>
      <c r="I200" s="57">
        <v>7696.1688038554321</v>
      </c>
      <c r="J200" s="58"/>
      <c r="K200" s="58"/>
      <c r="L200" s="59"/>
      <c r="M200" s="60">
        <v>4.0000000000000002E-4</v>
      </c>
      <c r="N200" s="61">
        <f t="shared" si="258"/>
        <v>307.84675215421731</v>
      </c>
      <c r="O200" s="58">
        <f t="shared" si="259"/>
        <v>8004.0155560096491</v>
      </c>
      <c r="P200" s="61">
        <f t="shared" si="260"/>
        <v>16008.031112019298</v>
      </c>
      <c r="Q200" s="61">
        <f t="shared" si="261"/>
        <v>12006.023334014473</v>
      </c>
      <c r="R200" s="61">
        <f t="shared" si="262"/>
        <v>4002.0077780048246</v>
      </c>
      <c r="S200" s="61">
        <f t="shared" si="263"/>
        <v>533.6010370673099</v>
      </c>
      <c r="T200" s="58">
        <f t="shared" si="227"/>
        <v>612.52063044956503</v>
      </c>
      <c r="U200" s="61">
        <f t="shared" si="264"/>
        <v>6003.0116670072366</v>
      </c>
      <c r="V200" s="58">
        <f t="shared" si="265"/>
        <v>2001.0038890024123</v>
      </c>
      <c r="W200" s="62">
        <v>0</v>
      </c>
      <c r="X200" s="63">
        <f t="shared" si="266"/>
        <v>0</v>
      </c>
      <c r="Y200" s="61">
        <v>1045.9205334423157</v>
      </c>
      <c r="Z200" s="61">
        <v>0</v>
      </c>
      <c r="AA200" s="61">
        <f t="shared" si="267"/>
        <v>2001.0038890024123</v>
      </c>
      <c r="AB200" s="61">
        <f t="shared" si="268"/>
        <v>400.20077780048246</v>
      </c>
      <c r="AC200" s="61">
        <v>2510.3747429586469</v>
      </c>
      <c r="AD200" s="61">
        <v>1605.4471984398324</v>
      </c>
      <c r="AE200" s="61">
        <v>949.40697719682578</v>
      </c>
      <c r="AF200" s="61">
        <v>0</v>
      </c>
      <c r="AG200" s="61">
        <f t="shared" si="269"/>
        <v>552.27707336466574</v>
      </c>
      <c r="AH200" s="64"/>
      <c r="AI200" s="64"/>
      <c r="AJ200" s="67">
        <v>2</v>
      </c>
      <c r="AK200" s="73" t="s">
        <v>42</v>
      </c>
      <c r="AL200" s="67">
        <v>7069</v>
      </c>
      <c r="AM200" s="72" t="s">
        <v>305</v>
      </c>
      <c r="AN200" s="79" t="s">
        <v>306</v>
      </c>
      <c r="AO200" s="65">
        <f t="shared" si="270"/>
        <v>144072.28000817366</v>
      </c>
      <c r="AP200" s="65">
        <f t="shared" si="270"/>
        <v>48024.093336057893</v>
      </c>
      <c r="AQ200" s="65">
        <f t="shared" si="271"/>
        <v>0</v>
      </c>
      <c r="AR200" s="65">
        <f t="shared" si="271"/>
        <v>12551.046401307787</v>
      </c>
      <c r="AS200" s="65">
        <f t="shared" si="271"/>
        <v>0</v>
      </c>
      <c r="AT200" s="65">
        <f t="shared" si="271"/>
        <v>24012.046668028946</v>
      </c>
      <c r="AU200" s="65">
        <f t="shared" si="271"/>
        <v>4802.4093336057895</v>
      </c>
      <c r="AV200" s="65">
        <f t="shared" si="271"/>
        <v>30124.496915503762</v>
      </c>
      <c r="AW200" s="65">
        <f t="shared" si="271"/>
        <v>19265.366381277989</v>
      </c>
      <c r="AX200" s="65">
        <f t="shared" si="271"/>
        <v>11392.88372636191</v>
      </c>
      <c r="AY200" s="65">
        <f t="shared" si="271"/>
        <v>0</v>
      </c>
      <c r="AZ200" s="65">
        <f t="shared" si="271"/>
        <v>6627.3248803759889</v>
      </c>
      <c r="BB200" s="64"/>
      <c r="BC200" s="66"/>
      <c r="BD200" s="66"/>
      <c r="BE200" s="66"/>
    </row>
    <row r="201" spans="1:177" ht="21" customHeight="1" x14ac:dyDescent="0.2">
      <c r="B201" s="67">
        <v>3</v>
      </c>
      <c r="C201" s="73" t="s">
        <v>42</v>
      </c>
      <c r="D201" s="67">
        <v>1087</v>
      </c>
      <c r="E201" s="72" t="s">
        <v>307</v>
      </c>
      <c r="F201" s="72" t="s">
        <v>308</v>
      </c>
      <c r="G201" s="123">
        <v>43435</v>
      </c>
      <c r="H201" s="56" t="str">
        <f t="shared" si="257"/>
        <v>6 AÑOS</v>
      </c>
      <c r="I201" s="57">
        <v>11226.257903727097</v>
      </c>
      <c r="J201" s="58"/>
      <c r="K201" s="58"/>
      <c r="L201" s="59"/>
      <c r="M201" s="60">
        <v>4.0000000000000002E-4</v>
      </c>
      <c r="N201" s="61">
        <f t="shared" si="258"/>
        <v>449.05031614908387</v>
      </c>
      <c r="O201" s="58">
        <f t="shared" si="259"/>
        <v>11675.30821987618</v>
      </c>
      <c r="P201" s="61">
        <f t="shared" si="260"/>
        <v>23350.616439752361</v>
      </c>
      <c r="Q201" s="61">
        <f t="shared" si="261"/>
        <v>17512.962329814269</v>
      </c>
      <c r="R201" s="61">
        <f t="shared" si="262"/>
        <v>5837.6541099380902</v>
      </c>
      <c r="S201" s="61">
        <f t="shared" si="263"/>
        <v>778.35388132507865</v>
      </c>
      <c r="T201" s="58">
        <f t="shared" si="227"/>
        <v>893.47242037305773</v>
      </c>
      <c r="U201" s="61">
        <f t="shared" si="264"/>
        <v>8756.4811649071344</v>
      </c>
      <c r="V201" s="58">
        <f t="shared" si="265"/>
        <v>2918.8270549690451</v>
      </c>
      <c r="W201" s="62">
        <v>0</v>
      </c>
      <c r="X201" s="63">
        <f t="shared" si="266"/>
        <v>0</v>
      </c>
      <c r="Y201" s="61">
        <v>2094.6448016483278</v>
      </c>
      <c r="Z201" s="61">
        <v>0</v>
      </c>
      <c r="AA201" s="61">
        <f t="shared" si="267"/>
        <v>2918.8270549690446</v>
      </c>
      <c r="AB201" s="61">
        <f t="shared" si="268"/>
        <v>583.76541099380904</v>
      </c>
      <c r="AC201" s="61">
        <v>3410.2957198249728</v>
      </c>
      <c r="AD201" s="61">
        <v>2341.8358874188029</v>
      </c>
      <c r="AE201" s="61">
        <v>1384.8822515782394</v>
      </c>
      <c r="AF201" s="61">
        <v>0</v>
      </c>
      <c r="AG201" s="61">
        <f t="shared" si="269"/>
        <v>805.59626717145647</v>
      </c>
      <c r="AH201" s="64"/>
      <c r="AI201" s="64"/>
      <c r="AJ201" s="67">
        <v>3</v>
      </c>
      <c r="AK201" s="73" t="s">
        <v>42</v>
      </c>
      <c r="AL201" s="67">
        <v>1087</v>
      </c>
      <c r="AM201" s="72" t="s">
        <v>307</v>
      </c>
      <c r="AN201" s="72" t="s">
        <v>308</v>
      </c>
      <c r="AO201" s="65">
        <f t="shared" si="270"/>
        <v>210155.54795777122</v>
      </c>
      <c r="AP201" s="65">
        <f t="shared" si="270"/>
        <v>70051.849319257075</v>
      </c>
      <c r="AQ201" s="65">
        <f t="shared" si="271"/>
        <v>0</v>
      </c>
      <c r="AR201" s="65">
        <f t="shared" si="271"/>
        <v>25135.737619779931</v>
      </c>
      <c r="AS201" s="65">
        <f t="shared" si="271"/>
        <v>0</v>
      </c>
      <c r="AT201" s="65">
        <f t="shared" si="271"/>
        <v>35025.924659628537</v>
      </c>
      <c r="AU201" s="65">
        <f t="shared" si="271"/>
        <v>7005.184931925709</v>
      </c>
      <c r="AV201" s="65">
        <f t="shared" si="271"/>
        <v>40923.548637899672</v>
      </c>
      <c r="AW201" s="65">
        <f t="shared" si="271"/>
        <v>28102.030649025633</v>
      </c>
      <c r="AX201" s="65">
        <f t="shared" si="271"/>
        <v>16618.587018938873</v>
      </c>
      <c r="AY201" s="65">
        <f t="shared" si="271"/>
        <v>0</v>
      </c>
      <c r="AZ201" s="65">
        <f t="shared" si="271"/>
        <v>9667.1552060574777</v>
      </c>
      <c r="BB201" s="64"/>
      <c r="BC201" s="66"/>
      <c r="BD201" s="66"/>
      <c r="BE201" s="66"/>
    </row>
    <row r="202" spans="1:177" ht="21" customHeight="1" x14ac:dyDescent="0.2">
      <c r="B202" s="51">
        <v>4</v>
      </c>
      <c r="C202" s="73" t="s">
        <v>42</v>
      </c>
      <c r="D202" s="67">
        <v>7072</v>
      </c>
      <c r="E202" s="73" t="s">
        <v>309</v>
      </c>
      <c r="F202" s="72" t="s">
        <v>310</v>
      </c>
      <c r="G202" s="123">
        <v>44636</v>
      </c>
      <c r="H202" s="56" t="str">
        <f t="shared" si="257"/>
        <v>2 AÑOS</v>
      </c>
      <c r="I202" s="57">
        <v>7696.1688038554321</v>
      </c>
      <c r="J202" s="58"/>
      <c r="K202" s="58"/>
      <c r="L202" s="59"/>
      <c r="M202" s="60">
        <v>4.0000000000000002E-4</v>
      </c>
      <c r="N202" s="61">
        <f t="shared" si="258"/>
        <v>307.84675215421731</v>
      </c>
      <c r="O202" s="58">
        <f t="shared" si="259"/>
        <v>8004.0155560096491</v>
      </c>
      <c r="P202" s="61">
        <f t="shared" si="260"/>
        <v>16008.031112019298</v>
      </c>
      <c r="Q202" s="61">
        <f t="shared" si="261"/>
        <v>12006.023334014473</v>
      </c>
      <c r="R202" s="61">
        <f t="shared" si="262"/>
        <v>4002.0077780048246</v>
      </c>
      <c r="S202" s="61">
        <f t="shared" si="263"/>
        <v>533.6010370673099</v>
      </c>
      <c r="T202" s="58">
        <f t="shared" si="227"/>
        <v>612.52063044956503</v>
      </c>
      <c r="U202" s="61">
        <f t="shared" si="264"/>
        <v>6003.0116670072366</v>
      </c>
      <c r="V202" s="58">
        <f t="shared" si="265"/>
        <v>2001.0038890024123</v>
      </c>
      <c r="W202" s="62">
        <v>0</v>
      </c>
      <c r="X202" s="63">
        <f t="shared" si="266"/>
        <v>0</v>
      </c>
      <c r="Y202" s="61">
        <v>1045.9205334423157</v>
      </c>
      <c r="Z202" s="61">
        <v>0</v>
      </c>
      <c r="AA202" s="61">
        <f t="shared" si="267"/>
        <v>2001.0038890024123</v>
      </c>
      <c r="AB202" s="61">
        <f t="shared" si="268"/>
        <v>400.20077780048246</v>
      </c>
      <c r="AC202" s="61">
        <v>2510.3747429586469</v>
      </c>
      <c r="AD202" s="61">
        <v>1605.4471984398324</v>
      </c>
      <c r="AE202" s="61">
        <v>949.40697719682578</v>
      </c>
      <c r="AF202" s="61">
        <v>0</v>
      </c>
      <c r="AG202" s="61">
        <f t="shared" si="269"/>
        <v>552.27707336466574</v>
      </c>
      <c r="AH202" s="64"/>
      <c r="AI202" s="64"/>
      <c r="AJ202" s="51">
        <v>4</v>
      </c>
      <c r="AK202" s="73" t="s">
        <v>42</v>
      </c>
      <c r="AL202" s="67">
        <v>7072</v>
      </c>
      <c r="AM202" s="73" t="s">
        <v>309</v>
      </c>
      <c r="AN202" s="72" t="s">
        <v>310</v>
      </c>
      <c r="AO202" s="65">
        <f t="shared" si="270"/>
        <v>144072.28000817366</v>
      </c>
      <c r="AP202" s="65">
        <f t="shared" si="270"/>
        <v>48024.093336057893</v>
      </c>
      <c r="AQ202" s="65">
        <f t="shared" si="271"/>
        <v>0</v>
      </c>
      <c r="AR202" s="65">
        <f t="shared" si="271"/>
        <v>12551.046401307787</v>
      </c>
      <c r="AS202" s="65">
        <f t="shared" si="271"/>
        <v>0</v>
      </c>
      <c r="AT202" s="65">
        <f t="shared" si="271"/>
        <v>24012.046668028946</v>
      </c>
      <c r="AU202" s="65">
        <f t="shared" si="271"/>
        <v>4802.4093336057895</v>
      </c>
      <c r="AV202" s="65">
        <f t="shared" si="271"/>
        <v>30124.496915503762</v>
      </c>
      <c r="AW202" s="65">
        <f t="shared" si="271"/>
        <v>19265.366381277989</v>
      </c>
      <c r="AX202" s="65">
        <f t="shared" si="271"/>
        <v>11392.88372636191</v>
      </c>
      <c r="AY202" s="65">
        <f t="shared" si="271"/>
        <v>0</v>
      </c>
      <c r="AZ202" s="65">
        <f t="shared" si="271"/>
        <v>6627.3248803759889</v>
      </c>
      <c r="BB202" s="64"/>
      <c r="BC202" s="66"/>
      <c r="BD202" s="66"/>
      <c r="BE202" s="66"/>
    </row>
    <row r="203" spans="1:177" ht="21" customHeight="1" x14ac:dyDescent="0.2">
      <c r="B203" s="67">
        <v>5</v>
      </c>
      <c r="C203" s="73" t="s">
        <v>42</v>
      </c>
      <c r="D203" s="67">
        <v>7075</v>
      </c>
      <c r="E203" s="72" t="s">
        <v>311</v>
      </c>
      <c r="F203" s="72" t="s">
        <v>312</v>
      </c>
      <c r="G203" s="155">
        <v>45323</v>
      </c>
      <c r="H203" s="56" t="str">
        <f t="shared" si="257"/>
        <v>0 AÑOS</v>
      </c>
      <c r="I203" s="57">
        <v>7707.3312328957618</v>
      </c>
      <c r="J203" s="58"/>
      <c r="K203" s="58"/>
      <c r="L203" s="59"/>
      <c r="M203" s="60">
        <v>4.0000000000000002E-4</v>
      </c>
      <c r="N203" s="61">
        <f t="shared" si="258"/>
        <v>308.29324931583045</v>
      </c>
      <c r="O203" s="58">
        <f t="shared" si="259"/>
        <v>8015.6244822115923</v>
      </c>
      <c r="P203" s="61">
        <f t="shared" si="260"/>
        <v>16031.248964423185</v>
      </c>
      <c r="Q203" s="61">
        <f t="shared" si="261"/>
        <v>12023.436723317389</v>
      </c>
      <c r="R203" s="61">
        <f t="shared" si="262"/>
        <v>4007.8122411057961</v>
      </c>
      <c r="S203" s="61">
        <f t="shared" si="263"/>
        <v>534.37496548077286</v>
      </c>
      <c r="T203" s="58">
        <f t="shared" si="227"/>
        <v>613.40902287537915</v>
      </c>
      <c r="U203" s="61">
        <f t="shared" si="264"/>
        <v>6011.7183616586944</v>
      </c>
      <c r="V203" s="58">
        <f t="shared" si="265"/>
        <v>2003.9061205528981</v>
      </c>
      <c r="W203" s="101">
        <v>0</v>
      </c>
      <c r="X203" s="63">
        <f t="shared" si="266"/>
        <v>0</v>
      </c>
      <c r="Y203" s="61">
        <v>1048.7066757307821</v>
      </c>
      <c r="Z203" s="61">
        <v>0</v>
      </c>
      <c r="AA203" s="61">
        <f t="shared" si="267"/>
        <v>2003.9061205528981</v>
      </c>
      <c r="AB203" s="61">
        <f t="shared" si="268"/>
        <v>400.78122411057967</v>
      </c>
      <c r="AC203" s="61">
        <v>2513.2203663301766</v>
      </c>
      <c r="AD203" s="61">
        <v>1607.7757194075125</v>
      </c>
      <c r="AE203" s="61">
        <v>950.78398545683785</v>
      </c>
      <c r="AF203" s="61">
        <v>0</v>
      </c>
      <c r="AG203" s="61">
        <f t="shared" si="269"/>
        <v>553.07808927259975</v>
      </c>
      <c r="AH203" s="64"/>
      <c r="AI203" s="64"/>
      <c r="AJ203" s="67">
        <v>5</v>
      </c>
      <c r="AK203" s="73" t="s">
        <v>42</v>
      </c>
      <c r="AL203" s="67">
        <v>7075</v>
      </c>
      <c r="AM203" s="72" t="s">
        <v>311</v>
      </c>
      <c r="AN203" s="72" t="s">
        <v>312</v>
      </c>
      <c r="AO203" s="65">
        <f>Q203*11</f>
        <v>132257.80395649129</v>
      </c>
      <c r="AP203" s="65">
        <f>R203*11</f>
        <v>44085.934652163756</v>
      </c>
      <c r="AQ203" s="65">
        <f t="shared" ref="AQ203:AZ203" si="272">X203*11</f>
        <v>0</v>
      </c>
      <c r="AR203" s="65">
        <f t="shared" si="272"/>
        <v>11535.773433038603</v>
      </c>
      <c r="AS203" s="65">
        <f t="shared" si="272"/>
        <v>0</v>
      </c>
      <c r="AT203" s="65">
        <f t="shared" si="272"/>
        <v>22042.967326081878</v>
      </c>
      <c r="AU203" s="65">
        <f t="shared" si="272"/>
        <v>4408.593465216376</v>
      </c>
      <c r="AV203" s="65">
        <f t="shared" si="272"/>
        <v>27645.424029631944</v>
      </c>
      <c r="AW203" s="65">
        <f t="shared" si="272"/>
        <v>17685.532913482639</v>
      </c>
      <c r="AX203" s="65">
        <f t="shared" si="272"/>
        <v>10458.623840025217</v>
      </c>
      <c r="AY203" s="65">
        <f t="shared" si="272"/>
        <v>0</v>
      </c>
      <c r="AZ203" s="65">
        <f t="shared" si="272"/>
        <v>6083.8589819985973</v>
      </c>
      <c r="BB203" s="64"/>
      <c r="BC203" s="66"/>
      <c r="BD203" s="66"/>
      <c r="BE203" s="66"/>
    </row>
    <row r="204" spans="1:177" ht="21" customHeight="1" x14ac:dyDescent="0.2">
      <c r="B204" s="67">
        <v>6</v>
      </c>
      <c r="C204" s="73" t="s">
        <v>42</v>
      </c>
      <c r="D204" s="67">
        <v>5092</v>
      </c>
      <c r="E204" s="72" t="s">
        <v>313</v>
      </c>
      <c r="F204" s="72" t="s">
        <v>314</v>
      </c>
      <c r="G204" s="123">
        <v>42567</v>
      </c>
      <c r="H204" s="56" t="str">
        <f t="shared" si="257"/>
        <v>8 AÑOS</v>
      </c>
      <c r="I204" s="57">
        <v>20122.78919356496</v>
      </c>
      <c r="J204" s="58"/>
      <c r="K204" s="58"/>
      <c r="L204" s="59"/>
      <c r="M204" s="60">
        <v>4.0000000000000002E-4</v>
      </c>
      <c r="N204" s="61">
        <f t="shared" si="258"/>
        <v>804.91156774259844</v>
      </c>
      <c r="O204" s="58">
        <f t="shared" si="259"/>
        <v>20927.700761307558</v>
      </c>
      <c r="P204" s="61">
        <f t="shared" si="260"/>
        <v>41855.401522615117</v>
      </c>
      <c r="Q204" s="61">
        <f t="shared" si="261"/>
        <v>31391.551141961339</v>
      </c>
      <c r="R204" s="61">
        <f t="shared" si="262"/>
        <v>10463.850380653779</v>
      </c>
      <c r="S204" s="61">
        <f t="shared" si="263"/>
        <v>1395.1800507538371</v>
      </c>
      <c r="T204" s="58">
        <f t="shared" si="227"/>
        <v>1601.5271802603295</v>
      </c>
      <c r="U204" s="61">
        <f t="shared" si="264"/>
        <v>15695.77557098067</v>
      </c>
      <c r="V204" s="58">
        <f t="shared" si="265"/>
        <v>5231.9251903268896</v>
      </c>
      <c r="W204" s="62">
        <v>0</v>
      </c>
      <c r="X204" s="63">
        <f t="shared" si="266"/>
        <v>0</v>
      </c>
      <c r="Y204" s="61">
        <v>5071.4070045893077</v>
      </c>
      <c r="Z204" s="61">
        <v>0</v>
      </c>
      <c r="AA204" s="61">
        <f t="shared" si="267"/>
        <v>5231.9251903268896</v>
      </c>
      <c r="AB204" s="61">
        <f t="shared" si="268"/>
        <v>1046.3850380653778</v>
      </c>
      <c r="AC204" s="61">
        <v>5678.27675445772</v>
      </c>
      <c r="AD204" s="61">
        <v>4197.6828158213366</v>
      </c>
      <c r="AE204" s="61">
        <v>2482.3671294035107</v>
      </c>
      <c r="AF204" s="61">
        <v>0</v>
      </c>
      <c r="AG204" s="61">
        <f t="shared" si="269"/>
        <v>1444.0113525302213</v>
      </c>
      <c r="AH204" s="64"/>
      <c r="AI204" s="64"/>
      <c r="AJ204" s="67">
        <v>6</v>
      </c>
      <c r="AK204" s="73" t="s">
        <v>42</v>
      </c>
      <c r="AL204" s="67">
        <v>5092</v>
      </c>
      <c r="AM204" s="72" t="s">
        <v>313</v>
      </c>
      <c r="AN204" s="72" t="s">
        <v>314</v>
      </c>
      <c r="AO204" s="65">
        <f t="shared" ref="AO204:AP206" si="273">Q204*12</f>
        <v>376698.6137035361</v>
      </c>
      <c r="AP204" s="65">
        <f t="shared" si="273"/>
        <v>125566.20456784536</v>
      </c>
      <c r="AQ204" s="65">
        <f t="shared" ref="AQ204:AZ206" si="274">X204*12</f>
        <v>0</v>
      </c>
      <c r="AR204" s="65">
        <f t="shared" si="274"/>
        <v>60856.884055071692</v>
      </c>
      <c r="AS204" s="65">
        <f t="shared" si="274"/>
        <v>0</v>
      </c>
      <c r="AT204" s="65">
        <f t="shared" si="274"/>
        <v>62783.102283922679</v>
      </c>
      <c r="AU204" s="65">
        <f t="shared" si="274"/>
        <v>12556.620456784534</v>
      </c>
      <c r="AV204" s="65">
        <f t="shared" si="274"/>
        <v>68139.321053492633</v>
      </c>
      <c r="AW204" s="65">
        <f t="shared" si="274"/>
        <v>50372.193789856043</v>
      </c>
      <c r="AX204" s="65">
        <f t="shared" si="274"/>
        <v>29788.40555284213</v>
      </c>
      <c r="AY204" s="65">
        <f t="shared" si="274"/>
        <v>0</v>
      </c>
      <c r="AZ204" s="65">
        <f t="shared" si="274"/>
        <v>17328.136230362656</v>
      </c>
      <c r="BB204" s="64"/>
      <c r="BC204" s="66"/>
      <c r="BD204" s="66"/>
      <c r="BE204" s="66"/>
    </row>
    <row r="205" spans="1:177" ht="21" customHeight="1" x14ac:dyDescent="0.2">
      <c r="B205" s="51">
        <v>7</v>
      </c>
      <c r="C205" s="73" t="s">
        <v>42</v>
      </c>
      <c r="D205" s="67">
        <v>7068</v>
      </c>
      <c r="E205" s="72" t="s">
        <v>315</v>
      </c>
      <c r="F205" s="79" t="s">
        <v>316</v>
      </c>
      <c r="G205" s="123">
        <v>43430</v>
      </c>
      <c r="H205" s="56" t="str">
        <f t="shared" si="257"/>
        <v>6 AÑOS</v>
      </c>
      <c r="I205" s="57">
        <v>11226.258135590757</v>
      </c>
      <c r="J205" s="58"/>
      <c r="K205" s="58"/>
      <c r="L205" s="59"/>
      <c r="M205" s="60">
        <v>4.0000000000000002E-4</v>
      </c>
      <c r="N205" s="61">
        <f t="shared" si="258"/>
        <v>449.05032542363028</v>
      </c>
      <c r="O205" s="58">
        <f t="shared" si="259"/>
        <v>11675.308461014387</v>
      </c>
      <c r="P205" s="61">
        <f t="shared" si="260"/>
        <v>23350.616922028774</v>
      </c>
      <c r="Q205" s="61">
        <f t="shared" si="261"/>
        <v>17512.962691521581</v>
      </c>
      <c r="R205" s="61">
        <f t="shared" si="262"/>
        <v>5837.6542305071935</v>
      </c>
      <c r="S205" s="61">
        <f t="shared" si="263"/>
        <v>778.35389740095911</v>
      </c>
      <c r="T205" s="58">
        <f t="shared" si="227"/>
        <v>893.47243882656096</v>
      </c>
      <c r="U205" s="61">
        <f t="shared" si="264"/>
        <v>8756.4813457607906</v>
      </c>
      <c r="V205" s="58">
        <f t="shared" si="265"/>
        <v>2918.8271152535967</v>
      </c>
      <c r="W205" s="62">
        <v>0</v>
      </c>
      <c r="X205" s="63">
        <f t="shared" si="266"/>
        <v>0</v>
      </c>
      <c r="Y205" s="61">
        <v>2094.64487890901</v>
      </c>
      <c r="Z205" s="61">
        <v>0</v>
      </c>
      <c r="AA205" s="61">
        <f t="shared" si="267"/>
        <v>2918.8271152535967</v>
      </c>
      <c r="AB205" s="61">
        <f t="shared" si="268"/>
        <v>583.76542305071928</v>
      </c>
      <c r="AC205" s="61">
        <v>3410.2957789336715</v>
      </c>
      <c r="AD205" s="61">
        <v>2341.8359357863578</v>
      </c>
      <c r="AE205" s="61">
        <v>1384.8822801811696</v>
      </c>
      <c r="AF205" s="61">
        <v>0</v>
      </c>
      <c r="AG205" s="61">
        <f t="shared" si="269"/>
        <v>805.59628380999266</v>
      </c>
      <c r="AH205" s="64"/>
      <c r="AI205" s="64"/>
      <c r="AJ205" s="51">
        <v>7</v>
      </c>
      <c r="AK205" s="73" t="s">
        <v>42</v>
      </c>
      <c r="AL205" s="67">
        <v>7068</v>
      </c>
      <c r="AM205" s="72" t="s">
        <v>315</v>
      </c>
      <c r="AN205" s="79" t="s">
        <v>316</v>
      </c>
      <c r="AO205" s="65">
        <f t="shared" si="273"/>
        <v>210155.55229825899</v>
      </c>
      <c r="AP205" s="65">
        <f t="shared" si="273"/>
        <v>70051.850766086325</v>
      </c>
      <c r="AQ205" s="65">
        <f t="shared" si="274"/>
        <v>0</v>
      </c>
      <c r="AR205" s="65">
        <f t="shared" si="274"/>
        <v>25135.73854690812</v>
      </c>
      <c r="AS205" s="65">
        <f t="shared" si="274"/>
        <v>0</v>
      </c>
      <c r="AT205" s="65">
        <f t="shared" si="274"/>
        <v>35025.925383043163</v>
      </c>
      <c r="AU205" s="65">
        <f t="shared" si="274"/>
        <v>7005.1850766086318</v>
      </c>
      <c r="AV205" s="65">
        <f t="shared" si="274"/>
        <v>40923.549347204054</v>
      </c>
      <c r="AW205" s="65">
        <f t="shared" si="274"/>
        <v>28102.031229436296</v>
      </c>
      <c r="AX205" s="65">
        <f t="shared" si="274"/>
        <v>16618.587362174036</v>
      </c>
      <c r="AY205" s="65">
        <f t="shared" si="274"/>
        <v>0</v>
      </c>
      <c r="AZ205" s="65">
        <f t="shared" si="274"/>
        <v>9667.1554057199119</v>
      </c>
      <c r="BB205" s="64"/>
      <c r="BC205" s="66"/>
      <c r="BD205" s="66"/>
      <c r="BE205" s="66"/>
    </row>
    <row r="206" spans="1:177" ht="21" customHeight="1" x14ac:dyDescent="0.2">
      <c r="B206" s="67">
        <v>8</v>
      </c>
      <c r="C206" s="73" t="s">
        <v>42</v>
      </c>
      <c r="D206" s="67">
        <v>17110</v>
      </c>
      <c r="E206" s="69" t="s">
        <v>317</v>
      </c>
      <c r="F206" s="79" t="s">
        <v>318</v>
      </c>
      <c r="G206" s="123">
        <v>39710</v>
      </c>
      <c r="H206" s="56" t="str">
        <f t="shared" si="257"/>
        <v>16 AÑOS</v>
      </c>
      <c r="I206" s="57">
        <v>10777.75427095028</v>
      </c>
      <c r="J206" s="58"/>
      <c r="K206" s="58"/>
      <c r="L206" s="59"/>
      <c r="M206" s="60">
        <v>4.0000000000000002E-4</v>
      </c>
      <c r="N206" s="61">
        <f t="shared" si="258"/>
        <v>431.11017083801119</v>
      </c>
      <c r="O206" s="58">
        <f t="shared" si="259"/>
        <v>11208.864441788292</v>
      </c>
      <c r="P206" s="61">
        <f t="shared" si="260"/>
        <v>22417.728883576583</v>
      </c>
      <c r="Q206" s="61">
        <f t="shared" si="261"/>
        <v>16813.296662682438</v>
      </c>
      <c r="R206" s="61">
        <f t="shared" si="262"/>
        <v>5604.4322208941458</v>
      </c>
      <c r="S206" s="61">
        <f t="shared" si="263"/>
        <v>747.25762945255281</v>
      </c>
      <c r="T206" s="58">
        <f t="shared" si="227"/>
        <v>857.77703284858535</v>
      </c>
      <c r="U206" s="61">
        <f t="shared" si="264"/>
        <v>8406.6483313412191</v>
      </c>
      <c r="V206" s="58">
        <f t="shared" si="265"/>
        <v>2802.2161104470729</v>
      </c>
      <c r="W206" s="62">
        <v>0</v>
      </c>
      <c r="X206" s="63">
        <f t="shared" si="266"/>
        <v>0</v>
      </c>
      <c r="Y206" s="61">
        <v>1945.1962151489688</v>
      </c>
      <c r="Z206" s="61">
        <v>0</v>
      </c>
      <c r="AA206" s="61">
        <f t="shared" si="267"/>
        <v>2802.2161104470729</v>
      </c>
      <c r="AB206" s="61">
        <f t="shared" si="268"/>
        <v>560.44322208941469</v>
      </c>
      <c r="AC206" s="61">
        <v>3295.9592779059062</v>
      </c>
      <c r="AD206" s="61">
        <v>2248.2764919477845</v>
      </c>
      <c r="AE206" s="61">
        <v>1329.5544009153073</v>
      </c>
      <c r="AF206" s="61">
        <v>0</v>
      </c>
      <c r="AG206" s="61">
        <f t="shared" si="269"/>
        <v>773.41164648339213</v>
      </c>
      <c r="AH206" s="64"/>
      <c r="AI206" s="64"/>
      <c r="AJ206" s="67">
        <v>8</v>
      </c>
      <c r="AK206" s="73" t="s">
        <v>42</v>
      </c>
      <c r="AL206" s="67">
        <v>17110</v>
      </c>
      <c r="AM206" s="69" t="s">
        <v>317</v>
      </c>
      <c r="AN206" s="79" t="s">
        <v>318</v>
      </c>
      <c r="AO206" s="65">
        <f t="shared" si="273"/>
        <v>201759.55995218927</v>
      </c>
      <c r="AP206" s="65">
        <f t="shared" si="273"/>
        <v>67253.186650729753</v>
      </c>
      <c r="AQ206" s="65">
        <f t="shared" si="274"/>
        <v>0</v>
      </c>
      <c r="AR206" s="65">
        <f t="shared" si="274"/>
        <v>23342.354581787626</v>
      </c>
      <c r="AS206" s="65">
        <f t="shared" si="274"/>
        <v>0</v>
      </c>
      <c r="AT206" s="65">
        <f t="shared" si="274"/>
        <v>33626.593325364876</v>
      </c>
      <c r="AU206" s="65">
        <f t="shared" si="274"/>
        <v>6725.3186650729767</v>
      </c>
      <c r="AV206" s="65">
        <f t="shared" si="274"/>
        <v>39551.511334870876</v>
      </c>
      <c r="AW206" s="65">
        <f t="shared" si="274"/>
        <v>26979.317903373412</v>
      </c>
      <c r="AX206" s="65">
        <f t="shared" si="274"/>
        <v>15954.652810983687</v>
      </c>
      <c r="AY206" s="65">
        <f t="shared" si="274"/>
        <v>0</v>
      </c>
      <c r="AZ206" s="65">
        <f t="shared" si="274"/>
        <v>9280.9397578007047</v>
      </c>
      <c r="BB206" s="64"/>
      <c r="BC206" s="66"/>
      <c r="BD206" s="66"/>
      <c r="BE206" s="66"/>
    </row>
    <row r="207" spans="1:177" s="96" customFormat="1" ht="21" customHeight="1" x14ac:dyDescent="0.2">
      <c r="A207" s="50"/>
      <c r="B207" s="455" t="s">
        <v>99</v>
      </c>
      <c r="C207" s="456"/>
      <c r="D207" s="456"/>
      <c r="E207" s="143">
        <v>8</v>
      </c>
      <c r="F207" s="166" t="s">
        <v>65</v>
      </c>
      <c r="G207" s="139"/>
      <c r="H207" s="90"/>
      <c r="I207" s="91">
        <f>SUM(I199:I206)</f>
        <v>84454.158160113962</v>
      </c>
      <c r="J207" s="91">
        <f t="shared" ref="J207:AG207" si="275">SUM(J199:J206)</f>
        <v>0</v>
      </c>
      <c r="K207" s="91">
        <f t="shared" si="275"/>
        <v>0</v>
      </c>
      <c r="L207" s="91">
        <f t="shared" si="275"/>
        <v>0</v>
      </c>
      <c r="M207" s="91">
        <f t="shared" si="275"/>
        <v>3.2000000000000006E-3</v>
      </c>
      <c r="N207" s="91">
        <f t="shared" si="275"/>
        <v>3378.1663264045583</v>
      </c>
      <c r="O207" s="91">
        <f t="shared" si="275"/>
        <v>87832.324486518512</v>
      </c>
      <c r="P207" s="91">
        <f t="shared" si="275"/>
        <v>175664.64897303702</v>
      </c>
      <c r="Q207" s="91">
        <f t="shared" si="275"/>
        <v>131748.4867297778</v>
      </c>
      <c r="R207" s="91">
        <f t="shared" si="275"/>
        <v>43916.162243259256</v>
      </c>
      <c r="S207" s="91">
        <f t="shared" si="275"/>
        <v>5855.4882991012346</v>
      </c>
      <c r="T207" s="91">
        <f t="shared" si="275"/>
        <v>6721.5150185383081</v>
      </c>
      <c r="U207" s="91">
        <f t="shared" si="275"/>
        <v>65874.243364888898</v>
      </c>
      <c r="V207" s="91">
        <f t="shared" si="275"/>
        <v>21958.081121629628</v>
      </c>
      <c r="W207" s="91">
        <f t="shared" si="275"/>
        <v>0</v>
      </c>
      <c r="X207" s="91">
        <f t="shared" si="275"/>
        <v>0</v>
      </c>
      <c r="Y207" s="91">
        <f t="shared" si="275"/>
        <v>15468.554324903318</v>
      </c>
      <c r="Z207" s="91">
        <f t="shared" si="275"/>
        <v>0</v>
      </c>
      <c r="AA207" s="91">
        <f t="shared" si="275"/>
        <v>21958.081121629628</v>
      </c>
      <c r="AB207" s="91">
        <f t="shared" si="275"/>
        <v>4391.6162243259259</v>
      </c>
      <c r="AC207" s="91">
        <f t="shared" si="275"/>
        <v>25916.991915059833</v>
      </c>
      <c r="AD207" s="91">
        <f t="shared" si="275"/>
        <v>17617.426939339828</v>
      </c>
      <c r="AE207" s="91">
        <f t="shared" si="275"/>
        <v>10418.348278734375</v>
      </c>
      <c r="AF207" s="91">
        <f t="shared" si="275"/>
        <v>0</v>
      </c>
      <c r="AG207" s="91">
        <f t="shared" si="275"/>
        <v>6060.4303895697785</v>
      </c>
      <c r="AH207" s="92"/>
      <c r="AI207" s="92"/>
      <c r="AJ207" s="455" t="s">
        <v>99</v>
      </c>
      <c r="AK207" s="456"/>
      <c r="AL207" s="456"/>
      <c r="AM207" s="143">
        <v>8</v>
      </c>
      <c r="AN207" s="166" t="s">
        <v>65</v>
      </c>
      <c r="AO207" s="93">
        <f>SUM(AO199:AO206)</f>
        <v>1568958.4040340162</v>
      </c>
      <c r="AP207" s="93">
        <f t="shared" ref="AP207:AZ207" si="276">SUM(AP199:AP206)</f>
        <v>522986.1346780053</v>
      </c>
      <c r="AQ207" s="93">
        <f t="shared" si="276"/>
        <v>0</v>
      </c>
      <c r="AR207" s="93">
        <f t="shared" si="276"/>
        <v>184573.94522310907</v>
      </c>
      <c r="AS207" s="93">
        <f t="shared" si="276"/>
        <v>0</v>
      </c>
      <c r="AT207" s="93">
        <f t="shared" si="276"/>
        <v>261493.06733900265</v>
      </c>
      <c r="AU207" s="93">
        <f t="shared" si="276"/>
        <v>52298.613467800533</v>
      </c>
      <c r="AV207" s="93">
        <f t="shared" si="276"/>
        <v>308490.68261438783</v>
      </c>
      <c r="AW207" s="93">
        <f t="shared" si="276"/>
        <v>209801.34755267043</v>
      </c>
      <c r="AX207" s="93">
        <f t="shared" si="276"/>
        <v>124069.39535935567</v>
      </c>
      <c r="AY207" s="93">
        <f t="shared" si="276"/>
        <v>0</v>
      </c>
      <c r="AZ207" s="93">
        <f t="shared" si="276"/>
        <v>72172.086585564728</v>
      </c>
      <c r="BA207" s="94"/>
      <c r="BB207" s="92"/>
      <c r="BC207" s="95"/>
      <c r="BD207" s="95"/>
      <c r="BE207" s="95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  <c r="FP207" s="50"/>
      <c r="FQ207" s="50"/>
      <c r="FR207" s="50"/>
      <c r="FS207" s="50"/>
      <c r="FT207" s="50"/>
      <c r="FU207" s="50"/>
    </row>
    <row r="208" spans="1:177" ht="21" customHeight="1" x14ac:dyDescent="0.2">
      <c r="B208" s="457" t="s">
        <v>101</v>
      </c>
      <c r="C208" s="458"/>
      <c r="D208" s="458"/>
      <c r="E208" s="76">
        <v>8</v>
      </c>
      <c r="F208" s="122" t="s">
        <v>319</v>
      </c>
      <c r="G208" s="168"/>
      <c r="H208" s="146"/>
      <c r="I208" s="57">
        <f>I207</f>
        <v>84454.158160113962</v>
      </c>
      <c r="J208" s="57">
        <f t="shared" ref="J208:AG208" si="277">J207</f>
        <v>0</v>
      </c>
      <c r="K208" s="57">
        <f t="shared" si="277"/>
        <v>0</v>
      </c>
      <c r="L208" s="74">
        <f t="shared" si="277"/>
        <v>0</v>
      </c>
      <c r="M208" s="57">
        <f t="shared" si="277"/>
        <v>3.2000000000000006E-3</v>
      </c>
      <c r="N208" s="57">
        <f t="shared" si="277"/>
        <v>3378.1663264045583</v>
      </c>
      <c r="O208" s="57">
        <f t="shared" si="277"/>
        <v>87832.324486518512</v>
      </c>
      <c r="P208" s="57">
        <f t="shared" si="277"/>
        <v>175664.64897303702</v>
      </c>
      <c r="Q208" s="57">
        <f t="shared" si="277"/>
        <v>131748.4867297778</v>
      </c>
      <c r="R208" s="57">
        <f t="shared" si="277"/>
        <v>43916.162243259256</v>
      </c>
      <c r="S208" s="57">
        <f t="shared" si="277"/>
        <v>5855.4882991012346</v>
      </c>
      <c r="T208" s="57">
        <f t="shared" si="277"/>
        <v>6721.5150185383081</v>
      </c>
      <c r="U208" s="81">
        <f t="shared" si="277"/>
        <v>65874.243364888898</v>
      </c>
      <c r="V208" s="57">
        <f t="shared" si="277"/>
        <v>21958.081121629628</v>
      </c>
      <c r="W208" s="57">
        <f t="shared" si="277"/>
        <v>0</v>
      </c>
      <c r="X208" s="57">
        <f t="shared" si="277"/>
        <v>0</v>
      </c>
      <c r="Y208" s="57">
        <f t="shared" si="277"/>
        <v>15468.554324903318</v>
      </c>
      <c r="Z208" s="57">
        <f t="shared" si="277"/>
        <v>0</v>
      </c>
      <c r="AA208" s="57">
        <f t="shared" si="277"/>
        <v>21958.081121629628</v>
      </c>
      <c r="AB208" s="57">
        <f t="shared" si="277"/>
        <v>4391.6162243259259</v>
      </c>
      <c r="AC208" s="57">
        <f t="shared" si="277"/>
        <v>25916.991915059833</v>
      </c>
      <c r="AD208" s="57">
        <f t="shared" si="277"/>
        <v>17617.426939339828</v>
      </c>
      <c r="AE208" s="57">
        <f t="shared" si="277"/>
        <v>10418.348278734375</v>
      </c>
      <c r="AF208" s="57">
        <f t="shared" si="277"/>
        <v>0</v>
      </c>
      <c r="AG208" s="57">
        <f t="shared" si="277"/>
        <v>6060.4303895697785</v>
      </c>
      <c r="AH208" s="92">
        <f>Q208+R208-Y208+Z208+X208+AA208+AB208+AC208+AD208+AE208+AF208+AG208</f>
        <v>246558.98951679311</v>
      </c>
      <c r="AI208" s="92">
        <f>AH208*12</f>
        <v>2958707.8742015176</v>
      </c>
      <c r="AJ208" s="457" t="s">
        <v>101</v>
      </c>
      <c r="AK208" s="458"/>
      <c r="AL208" s="458"/>
      <c r="AM208" s="76">
        <v>8</v>
      </c>
      <c r="AN208" s="122" t="s">
        <v>319</v>
      </c>
      <c r="AO208" s="149">
        <f>AO207</f>
        <v>1568958.4040340162</v>
      </c>
      <c r="AP208" s="149">
        <f t="shared" ref="AP208:AZ208" si="278">AP207</f>
        <v>522986.1346780053</v>
      </c>
      <c r="AQ208" s="149">
        <f t="shared" si="278"/>
        <v>0</v>
      </c>
      <c r="AR208" s="149">
        <f t="shared" si="278"/>
        <v>184573.94522310907</v>
      </c>
      <c r="AS208" s="149">
        <f t="shared" si="278"/>
        <v>0</v>
      </c>
      <c r="AT208" s="149">
        <f t="shared" si="278"/>
        <v>261493.06733900265</v>
      </c>
      <c r="AU208" s="149">
        <f t="shared" si="278"/>
        <v>52298.613467800533</v>
      </c>
      <c r="AV208" s="149">
        <f t="shared" si="278"/>
        <v>308490.68261438783</v>
      </c>
      <c r="AW208" s="149">
        <f t="shared" si="278"/>
        <v>209801.34755267043</v>
      </c>
      <c r="AX208" s="149">
        <f t="shared" si="278"/>
        <v>124069.39535935567</v>
      </c>
      <c r="AY208" s="149">
        <f t="shared" si="278"/>
        <v>0</v>
      </c>
      <c r="AZ208" s="149">
        <f t="shared" si="278"/>
        <v>72172.086585564728</v>
      </c>
      <c r="BA208" s="94"/>
      <c r="BB208" s="92">
        <f>AO208+AP208+AQ208-AR208+AS208+AU208+AV208+AT208+AW208+AX208+AY208+AZ208</f>
        <v>2935695.7864076938</v>
      </c>
      <c r="BC208" s="95"/>
      <c r="BD208" s="95"/>
      <c r="BE208" s="95"/>
    </row>
    <row r="209" spans="1:177" ht="21" customHeight="1" x14ac:dyDescent="0.2">
      <c r="B209" s="457" t="s">
        <v>103</v>
      </c>
      <c r="C209" s="458"/>
      <c r="D209" s="458"/>
      <c r="E209" s="76">
        <f>E207-E208</f>
        <v>0</v>
      </c>
      <c r="F209" s="76"/>
      <c r="G209" s="485"/>
      <c r="H209" s="485"/>
      <c r="I209" s="485"/>
      <c r="J209" s="485"/>
      <c r="K209" s="485"/>
      <c r="L209" s="485"/>
      <c r="M209" s="485"/>
      <c r="N209" s="485"/>
      <c r="O209" s="485"/>
      <c r="P209" s="485"/>
      <c r="Q209" s="485"/>
      <c r="R209" s="485"/>
      <c r="S209" s="485"/>
      <c r="T209" s="485"/>
      <c r="U209" s="485"/>
      <c r="V209" s="485"/>
      <c r="W209" s="485"/>
      <c r="X209" s="485"/>
      <c r="Y209" s="485"/>
      <c r="Z209" s="485"/>
      <c r="AA209" s="485"/>
      <c r="AB209" s="485"/>
      <c r="AC209" s="485"/>
      <c r="AD209" s="485"/>
      <c r="AE209" s="485"/>
      <c r="AF209" s="485"/>
      <c r="AG209" s="486"/>
      <c r="AH209" s="198"/>
      <c r="AI209" s="198"/>
      <c r="AJ209" s="457" t="s">
        <v>103</v>
      </c>
      <c r="AK209" s="458"/>
      <c r="AL209" s="458"/>
      <c r="AM209" s="76">
        <f>AM207-AM208</f>
        <v>0</v>
      </c>
      <c r="AN209" s="76"/>
      <c r="AO209" s="481"/>
      <c r="AP209" s="482"/>
      <c r="AQ209" s="482"/>
      <c r="AR209" s="482"/>
      <c r="AS209" s="482"/>
      <c r="AT209" s="482"/>
      <c r="AU209" s="482"/>
      <c r="AV209" s="482"/>
      <c r="AW209" s="482"/>
      <c r="AX209" s="482"/>
      <c r="AY209" s="482"/>
      <c r="AZ209" s="483"/>
      <c r="BA209" s="94"/>
      <c r="BB209" s="92"/>
      <c r="BC209" s="95"/>
      <c r="BD209" s="95"/>
      <c r="BE209" s="95"/>
    </row>
    <row r="210" spans="1:177" ht="21" customHeight="1" x14ac:dyDescent="0.2">
      <c r="B210" s="5"/>
      <c r="C210" s="94"/>
      <c r="D210" s="5"/>
      <c r="E210" s="94"/>
      <c r="G210" s="27"/>
      <c r="H210" s="27"/>
      <c r="I210" s="95"/>
      <c r="J210" s="95"/>
      <c r="K210" s="95"/>
      <c r="L210" s="27"/>
      <c r="M210" s="128"/>
      <c r="N210" s="66"/>
      <c r="O210" s="95"/>
      <c r="P210" s="66"/>
      <c r="Q210" s="66"/>
      <c r="R210" s="66"/>
      <c r="S210" s="66"/>
      <c r="T210" s="95"/>
      <c r="U210" s="66"/>
      <c r="V210" s="95"/>
      <c r="W210" s="129"/>
      <c r="X210" s="130"/>
      <c r="Y210" s="66"/>
      <c r="Z210" s="66"/>
      <c r="AA210" s="66"/>
      <c r="AB210" s="66"/>
      <c r="AC210" s="66"/>
      <c r="AD210" s="66"/>
      <c r="AE210" s="66"/>
      <c r="AF210" s="66"/>
      <c r="AG210" s="66"/>
      <c r="AH210" s="64"/>
      <c r="AI210" s="64"/>
      <c r="AJ210" s="5"/>
      <c r="AK210" s="94"/>
      <c r="AL210" s="5"/>
      <c r="AM210" s="94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2"/>
      <c r="BB210" s="92"/>
      <c r="BC210" s="95"/>
      <c r="BD210" s="95"/>
      <c r="BE210" s="95"/>
    </row>
    <row r="211" spans="1:177" ht="21" customHeight="1" thickBot="1" x14ac:dyDescent="0.25">
      <c r="B211" s="5"/>
      <c r="C211" s="94"/>
      <c r="D211" s="5"/>
      <c r="E211" s="94"/>
      <c r="G211" s="27"/>
      <c r="H211" s="27"/>
      <c r="I211" s="95"/>
      <c r="J211" s="95"/>
      <c r="K211" s="95"/>
      <c r="L211" s="27"/>
      <c r="M211" s="128"/>
      <c r="N211" s="66"/>
      <c r="O211" s="95"/>
      <c r="P211" s="66"/>
      <c r="Q211" s="66"/>
      <c r="R211" s="66"/>
      <c r="S211" s="66"/>
      <c r="T211" s="95"/>
      <c r="U211" s="66"/>
      <c r="V211" s="95"/>
      <c r="W211" s="129"/>
      <c r="X211" s="130"/>
      <c r="Y211" s="66"/>
      <c r="Z211" s="66"/>
      <c r="AA211" s="66"/>
      <c r="AB211" s="66"/>
      <c r="AC211" s="66"/>
      <c r="AD211" s="66"/>
      <c r="AE211" s="66"/>
      <c r="AF211" s="66"/>
      <c r="AG211" s="66"/>
      <c r="AH211" s="64"/>
      <c r="AI211" s="64"/>
      <c r="AJ211" s="5"/>
      <c r="AK211" s="94"/>
      <c r="AL211" s="5"/>
      <c r="AM211" s="94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2"/>
      <c r="BB211" s="92"/>
      <c r="BC211" s="95"/>
      <c r="BD211" s="95"/>
      <c r="BE211" s="95"/>
    </row>
    <row r="212" spans="1:177" s="134" customFormat="1" ht="21" customHeight="1" thickBot="1" x14ac:dyDescent="0.25">
      <c r="A212" s="94"/>
      <c r="B212" s="463" t="s">
        <v>320</v>
      </c>
      <c r="C212" s="464"/>
      <c r="D212" s="464"/>
      <c r="E212" s="465"/>
      <c r="F212" s="466" t="s">
        <v>4</v>
      </c>
      <c r="G212" s="7" t="s">
        <v>5</v>
      </c>
      <c r="H212" s="8" t="s">
        <v>6</v>
      </c>
      <c r="I212" s="9" t="s">
        <v>7</v>
      </c>
      <c r="J212" s="9"/>
      <c r="K212" s="9"/>
      <c r="L212" s="9"/>
      <c r="M212" s="10">
        <v>4.0000000000000002E-4</v>
      </c>
      <c r="N212" s="11" t="s">
        <v>8</v>
      </c>
      <c r="O212" s="12" t="s">
        <v>9</v>
      </c>
      <c r="P212" s="12" t="s">
        <v>10</v>
      </c>
      <c r="Q212" s="13" t="s">
        <v>11</v>
      </c>
      <c r="R212" s="12" t="s">
        <v>12</v>
      </c>
      <c r="S212" s="14" t="s">
        <v>11</v>
      </c>
      <c r="T212" s="15" t="s">
        <v>13</v>
      </c>
      <c r="U212" s="16" t="s">
        <v>11</v>
      </c>
      <c r="V212" s="17" t="s">
        <v>12</v>
      </c>
      <c r="W212" s="18" t="s">
        <v>14</v>
      </c>
      <c r="X212" s="19" t="s">
        <v>15</v>
      </c>
      <c r="Y212" s="15" t="s">
        <v>16</v>
      </c>
      <c r="Z212" s="13" t="s">
        <v>17</v>
      </c>
      <c r="AA212" s="20" t="s">
        <v>18</v>
      </c>
      <c r="AB212" s="17" t="s">
        <v>19</v>
      </c>
      <c r="AC212" s="13" t="s">
        <v>20</v>
      </c>
      <c r="AD212" s="13" t="s">
        <v>21</v>
      </c>
      <c r="AE212" s="13" t="s">
        <v>22</v>
      </c>
      <c r="AF212" s="17" t="s">
        <v>23</v>
      </c>
      <c r="AG212" s="12" t="s">
        <v>24</v>
      </c>
      <c r="AH212" s="132"/>
      <c r="AI212" s="132"/>
      <c r="AJ212" s="463" t="s">
        <v>320</v>
      </c>
      <c r="AK212" s="464"/>
      <c r="AL212" s="464"/>
      <c r="AM212" s="465"/>
      <c r="AN212" s="466" t="s">
        <v>4</v>
      </c>
      <c r="AO212" s="22" t="s">
        <v>11</v>
      </c>
      <c r="AP212" s="12" t="s">
        <v>12</v>
      </c>
      <c r="AQ212" s="23" t="s">
        <v>15</v>
      </c>
      <c r="AR212" s="22" t="s">
        <v>16</v>
      </c>
      <c r="AS212" s="22" t="s">
        <v>25</v>
      </c>
      <c r="AT212" s="20" t="s">
        <v>26</v>
      </c>
      <c r="AU212" s="24" t="s">
        <v>27</v>
      </c>
      <c r="AV212" s="23" t="s">
        <v>20</v>
      </c>
      <c r="AW212" s="22" t="s">
        <v>28</v>
      </c>
      <c r="AX212" s="22" t="s">
        <v>29</v>
      </c>
      <c r="AY212" s="25" t="s">
        <v>23</v>
      </c>
      <c r="AZ212" s="24" t="s">
        <v>24</v>
      </c>
      <c r="BA212" s="94"/>
      <c r="BB212" s="92"/>
      <c r="BC212" s="95"/>
      <c r="BD212" s="95"/>
      <c r="BE212" s="95"/>
      <c r="BF212" s="94"/>
      <c r="BG212" s="94"/>
      <c r="BH212" s="94"/>
      <c r="BI212" s="94"/>
      <c r="BJ212" s="94"/>
      <c r="BK212" s="94"/>
      <c r="BL212" s="94"/>
      <c r="BM212" s="94"/>
      <c r="BN212" s="94"/>
      <c r="BO212" s="94"/>
      <c r="BP212" s="94"/>
      <c r="BQ212" s="94"/>
      <c r="BR212" s="94"/>
      <c r="BS212" s="94"/>
      <c r="BT212" s="94"/>
      <c r="BU212" s="94"/>
      <c r="BV212" s="94"/>
      <c r="BW212" s="94"/>
      <c r="BX212" s="94"/>
      <c r="BY212" s="94"/>
      <c r="BZ212" s="94"/>
      <c r="CA212" s="94"/>
      <c r="CB212" s="94"/>
      <c r="CC212" s="94"/>
      <c r="CD212" s="94"/>
      <c r="CE212" s="94"/>
      <c r="CF212" s="94"/>
      <c r="CG212" s="94"/>
      <c r="CH212" s="94"/>
      <c r="CI212" s="94"/>
      <c r="CJ212" s="94"/>
      <c r="CK212" s="94"/>
      <c r="CL212" s="94"/>
      <c r="CM212" s="94"/>
      <c r="CN212" s="94"/>
      <c r="CO212" s="94"/>
      <c r="CP212" s="94"/>
      <c r="CQ212" s="94"/>
      <c r="CR212" s="94"/>
      <c r="CS212" s="94"/>
      <c r="CT212" s="94"/>
      <c r="CU212" s="94"/>
      <c r="CV212" s="94"/>
      <c r="CW212" s="94"/>
      <c r="CX212" s="94"/>
      <c r="CY212" s="94"/>
      <c r="CZ212" s="94"/>
      <c r="DA212" s="94"/>
      <c r="DB212" s="94"/>
      <c r="DC212" s="94"/>
      <c r="DD212" s="94"/>
      <c r="DE212" s="94"/>
      <c r="DF212" s="94"/>
      <c r="DG212" s="94"/>
      <c r="DH212" s="94"/>
      <c r="DI212" s="94"/>
      <c r="DJ212" s="94"/>
      <c r="DK212" s="94"/>
      <c r="DL212" s="94"/>
      <c r="DM212" s="94"/>
      <c r="DN212" s="94"/>
      <c r="DO212" s="94"/>
      <c r="DP212" s="94"/>
      <c r="DQ212" s="94"/>
      <c r="DR212" s="94"/>
      <c r="DS212" s="94"/>
      <c r="DT212" s="94"/>
      <c r="DU212" s="94"/>
      <c r="DV212" s="94"/>
      <c r="DW212" s="94"/>
      <c r="DX212" s="94"/>
      <c r="DY212" s="94"/>
      <c r="DZ212" s="94"/>
      <c r="EA212" s="94"/>
      <c r="EB212" s="94"/>
      <c r="EC212" s="94"/>
      <c r="ED212" s="94"/>
      <c r="EE212" s="94"/>
      <c r="EF212" s="94"/>
      <c r="EG212" s="94"/>
      <c r="EH212" s="94"/>
      <c r="EI212" s="94"/>
      <c r="EJ212" s="94"/>
      <c r="EK212" s="94"/>
      <c r="EL212" s="94"/>
      <c r="EM212" s="94"/>
      <c r="EN212" s="94"/>
      <c r="EO212" s="94"/>
      <c r="EP212" s="94"/>
      <c r="EQ212" s="94"/>
      <c r="ER212" s="94"/>
      <c r="ES212" s="94"/>
      <c r="ET212" s="94"/>
      <c r="EU212" s="94"/>
      <c r="EV212" s="94"/>
      <c r="EW212" s="94"/>
      <c r="EX212" s="94"/>
      <c r="EY212" s="94"/>
      <c r="EZ212" s="94"/>
      <c r="FA212" s="94"/>
      <c r="FB212" s="94"/>
      <c r="FC212" s="94"/>
      <c r="FD212" s="94"/>
      <c r="FE212" s="94"/>
      <c r="FF212" s="94"/>
      <c r="FG212" s="94"/>
      <c r="FH212" s="94"/>
      <c r="FI212" s="94"/>
      <c r="FJ212" s="94"/>
      <c r="FK212" s="94"/>
      <c r="FL212" s="94"/>
      <c r="FM212" s="94"/>
      <c r="FN212" s="94"/>
      <c r="FO212" s="94"/>
      <c r="FP212" s="94"/>
      <c r="FQ212" s="94"/>
      <c r="FR212" s="94"/>
      <c r="FS212" s="94"/>
      <c r="FT212" s="94"/>
      <c r="FU212" s="94"/>
    </row>
    <row r="213" spans="1:177" s="134" customFormat="1" ht="21" customHeight="1" thickBot="1" x14ac:dyDescent="0.25">
      <c r="A213" s="94"/>
      <c r="B213" s="30" t="s">
        <v>30</v>
      </c>
      <c r="C213" s="6" t="s">
        <v>31</v>
      </c>
      <c r="D213" s="30" t="s">
        <v>105</v>
      </c>
      <c r="E213" s="32" t="s">
        <v>32</v>
      </c>
      <c r="F213" s="467"/>
      <c r="G213" s="33" t="s">
        <v>33</v>
      </c>
      <c r="H213" s="34">
        <v>45657</v>
      </c>
      <c r="I213" s="35">
        <v>2023</v>
      </c>
      <c r="J213" s="35"/>
      <c r="K213" s="35"/>
      <c r="L213" s="35"/>
      <c r="M213" s="36"/>
      <c r="N213" s="37"/>
      <c r="O213" s="38">
        <v>2024</v>
      </c>
      <c r="P213" s="39" t="s">
        <v>34</v>
      </c>
      <c r="Q213" s="40" t="s">
        <v>35</v>
      </c>
      <c r="R213" s="39" t="s">
        <v>36</v>
      </c>
      <c r="S213" s="41" t="s">
        <v>37</v>
      </c>
      <c r="T213" s="42" t="s">
        <v>38</v>
      </c>
      <c r="U213" s="43" t="s">
        <v>39</v>
      </c>
      <c r="V213" s="41" t="s">
        <v>39</v>
      </c>
      <c r="W213" s="44" t="s">
        <v>15</v>
      </c>
      <c r="X213" s="45" t="s">
        <v>35</v>
      </c>
      <c r="Y213" s="42" t="s">
        <v>35</v>
      </c>
      <c r="Z213" s="40" t="s">
        <v>35</v>
      </c>
      <c r="AA213" s="46" t="s">
        <v>35</v>
      </c>
      <c r="AB213" s="41" t="s">
        <v>35</v>
      </c>
      <c r="AC213" s="40" t="s">
        <v>35</v>
      </c>
      <c r="AD213" s="40" t="s">
        <v>35</v>
      </c>
      <c r="AE213" s="40" t="s">
        <v>35</v>
      </c>
      <c r="AF213" s="41" t="s">
        <v>35</v>
      </c>
      <c r="AG213" s="40" t="s">
        <v>35</v>
      </c>
      <c r="AH213" s="135"/>
      <c r="AI213" s="135"/>
      <c r="AJ213" s="30" t="s">
        <v>30</v>
      </c>
      <c r="AK213" s="6" t="s">
        <v>31</v>
      </c>
      <c r="AL213" s="30" t="s">
        <v>105</v>
      </c>
      <c r="AM213" s="32" t="s">
        <v>32</v>
      </c>
      <c r="AN213" s="467"/>
      <c r="AO213" s="40" t="s">
        <v>40</v>
      </c>
      <c r="AP213" s="39" t="s">
        <v>41</v>
      </c>
      <c r="AQ213" s="48" t="s">
        <v>40</v>
      </c>
      <c r="AR213" s="49" t="s">
        <v>40</v>
      </c>
      <c r="AS213" s="49" t="s">
        <v>40</v>
      </c>
      <c r="AT213" s="46" t="s">
        <v>40</v>
      </c>
      <c r="AU213" s="49" t="s">
        <v>40</v>
      </c>
      <c r="AV213" s="48" t="s">
        <v>40</v>
      </c>
      <c r="AW213" s="49" t="s">
        <v>40</v>
      </c>
      <c r="AX213" s="49" t="s">
        <v>40</v>
      </c>
      <c r="AY213" s="48" t="s">
        <v>40</v>
      </c>
      <c r="AZ213" s="49" t="s">
        <v>40</v>
      </c>
      <c r="BA213" s="94"/>
      <c r="BB213" s="92"/>
      <c r="BC213" s="95"/>
      <c r="BD213" s="95"/>
      <c r="BE213" s="95"/>
      <c r="BF213" s="94"/>
      <c r="BG213" s="94"/>
      <c r="BH213" s="94"/>
      <c r="BI213" s="94"/>
      <c r="BJ213" s="94"/>
      <c r="BK213" s="94"/>
      <c r="BL213" s="94"/>
      <c r="BM213" s="94"/>
      <c r="BN213" s="94"/>
      <c r="BO213" s="94"/>
      <c r="BP213" s="94"/>
      <c r="BQ213" s="94"/>
      <c r="BR213" s="94"/>
      <c r="BS213" s="94"/>
      <c r="BT213" s="94"/>
      <c r="BU213" s="94"/>
      <c r="BV213" s="94"/>
      <c r="BW213" s="94"/>
      <c r="BX213" s="94"/>
      <c r="BY213" s="94"/>
      <c r="BZ213" s="94"/>
      <c r="CA213" s="94"/>
      <c r="CB213" s="94"/>
      <c r="CC213" s="94"/>
      <c r="CD213" s="94"/>
      <c r="CE213" s="94"/>
      <c r="CF213" s="94"/>
      <c r="CG213" s="94"/>
      <c r="CH213" s="94"/>
      <c r="CI213" s="94"/>
      <c r="CJ213" s="94"/>
      <c r="CK213" s="94"/>
      <c r="CL213" s="94"/>
      <c r="CM213" s="94"/>
      <c r="CN213" s="94"/>
      <c r="CO213" s="94"/>
      <c r="CP213" s="94"/>
      <c r="CQ213" s="94"/>
      <c r="CR213" s="94"/>
      <c r="CS213" s="94"/>
      <c r="CT213" s="94"/>
      <c r="CU213" s="94"/>
      <c r="CV213" s="94"/>
      <c r="CW213" s="94"/>
      <c r="CX213" s="94"/>
      <c r="CY213" s="94"/>
      <c r="CZ213" s="94"/>
      <c r="DA213" s="94"/>
      <c r="DB213" s="94"/>
      <c r="DC213" s="94"/>
      <c r="DD213" s="94"/>
      <c r="DE213" s="94"/>
      <c r="DF213" s="94"/>
      <c r="DG213" s="94"/>
      <c r="DH213" s="94"/>
      <c r="DI213" s="94"/>
      <c r="DJ213" s="94"/>
      <c r="DK213" s="94"/>
      <c r="DL213" s="94"/>
      <c r="DM213" s="94"/>
      <c r="DN213" s="94"/>
      <c r="DO213" s="94"/>
      <c r="DP213" s="94"/>
      <c r="DQ213" s="94"/>
      <c r="DR213" s="94"/>
      <c r="DS213" s="94"/>
      <c r="DT213" s="94"/>
      <c r="DU213" s="94"/>
      <c r="DV213" s="94"/>
      <c r="DW213" s="94"/>
      <c r="DX213" s="94"/>
      <c r="DY213" s="94"/>
      <c r="DZ213" s="94"/>
      <c r="EA213" s="94"/>
      <c r="EB213" s="94"/>
      <c r="EC213" s="94"/>
      <c r="ED213" s="94"/>
      <c r="EE213" s="94"/>
      <c r="EF213" s="94"/>
      <c r="EG213" s="94"/>
      <c r="EH213" s="94"/>
      <c r="EI213" s="94"/>
      <c r="EJ213" s="94"/>
      <c r="EK213" s="94"/>
      <c r="EL213" s="94"/>
      <c r="EM213" s="94"/>
      <c r="EN213" s="94"/>
      <c r="EO213" s="94"/>
      <c r="EP213" s="94"/>
      <c r="EQ213" s="94"/>
      <c r="ER213" s="94"/>
      <c r="ES213" s="94"/>
      <c r="ET213" s="94"/>
      <c r="EU213" s="94"/>
      <c r="EV213" s="94"/>
      <c r="EW213" s="94"/>
      <c r="EX213" s="94"/>
      <c r="EY213" s="94"/>
      <c r="EZ213" s="94"/>
      <c r="FA213" s="94"/>
      <c r="FB213" s="94"/>
      <c r="FC213" s="94"/>
      <c r="FD213" s="94"/>
      <c r="FE213" s="94"/>
      <c r="FF213" s="94"/>
      <c r="FG213" s="94"/>
      <c r="FH213" s="94"/>
      <c r="FI213" s="94"/>
      <c r="FJ213" s="94"/>
      <c r="FK213" s="94"/>
      <c r="FL213" s="94"/>
      <c r="FM213" s="94"/>
      <c r="FN213" s="94"/>
      <c r="FO213" s="94"/>
      <c r="FP213" s="94"/>
      <c r="FQ213" s="94"/>
      <c r="FR213" s="94"/>
      <c r="FS213" s="94"/>
      <c r="FT213" s="94"/>
      <c r="FU213" s="94"/>
    </row>
    <row r="214" spans="1:177" ht="21" customHeight="1" x14ac:dyDescent="0.2">
      <c r="B214" s="51">
        <v>1</v>
      </c>
      <c r="C214" s="77" t="s">
        <v>42</v>
      </c>
      <c r="D214" s="51">
        <v>8003</v>
      </c>
      <c r="E214" s="53" t="s">
        <v>321</v>
      </c>
      <c r="F214" s="53" t="s">
        <v>322</v>
      </c>
      <c r="G214" s="155">
        <v>36557</v>
      </c>
      <c r="H214" s="56" t="str">
        <f xml:space="preserve"> CONCATENATE(DATEDIF(G214,H$5,"Y")," AÑOS")</f>
        <v>24 AÑOS</v>
      </c>
      <c r="I214" s="75">
        <v>12300.223123287378</v>
      </c>
      <c r="J214" s="75"/>
      <c r="K214" s="75"/>
      <c r="L214" s="137"/>
      <c r="M214" s="60">
        <v>4.0000000000000002E-4</v>
      </c>
      <c r="N214" s="61">
        <f>I214*0.04</f>
        <v>492.00892493149513</v>
      </c>
      <c r="O214" s="58">
        <f>I214+N214</f>
        <v>12792.232048218873</v>
      </c>
      <c r="P214" s="61">
        <f t="shared" ref="P214" si="279">O214*2</f>
        <v>25584.464096437747</v>
      </c>
      <c r="Q214" s="61">
        <f t="shared" ref="Q214" si="280">P214*0.75</f>
        <v>19188.34807232831</v>
      </c>
      <c r="R214" s="61">
        <f t="shared" ref="R214" si="281">P214*0.25</f>
        <v>6396.1160241094367</v>
      </c>
      <c r="S214" s="61">
        <f t="shared" ref="S214" si="282">(P214/30)</f>
        <v>852.8154698812582</v>
      </c>
      <c r="T214" s="58">
        <f t="shared" si="227"/>
        <v>978.94687787669625</v>
      </c>
      <c r="U214" s="61">
        <f t="shared" ref="U214" si="283">O214*0.75</f>
        <v>9594.174036164155</v>
      </c>
      <c r="V214" s="58">
        <f t="shared" ref="V214" si="284">O214*0.25</f>
        <v>3198.0580120547183</v>
      </c>
      <c r="W214" s="62">
        <v>0</v>
      </c>
      <c r="X214" s="63">
        <f>P214*W214</f>
        <v>0</v>
      </c>
      <c r="Y214" s="61">
        <v>2452.5071962493271</v>
      </c>
      <c r="Z214" s="61">
        <v>0</v>
      </c>
      <c r="AA214" s="61">
        <f>(S214*45)/12</f>
        <v>3198.0580120547183</v>
      </c>
      <c r="AB214" s="61">
        <f>(S214*10)*(0.45*2)/12</f>
        <v>639.61160241094365</v>
      </c>
      <c r="AC214" s="61">
        <v>3684.080262414077</v>
      </c>
      <c r="AD214" s="61">
        <v>2565.8687142587146</v>
      </c>
      <c r="AE214" s="61">
        <v>1517.3676607088792</v>
      </c>
      <c r="AF214" s="61">
        <v>0</v>
      </c>
      <c r="AG214" s="61">
        <f>(P214+AA214+AB214)*0.03</f>
        <v>882.66401132710212</v>
      </c>
      <c r="AH214" s="64"/>
      <c r="AI214" s="64"/>
      <c r="AJ214" s="51">
        <v>1</v>
      </c>
      <c r="AK214" s="77" t="s">
        <v>42</v>
      </c>
      <c r="AL214" s="51">
        <v>8003</v>
      </c>
      <c r="AM214" s="53" t="s">
        <v>321</v>
      </c>
      <c r="AN214" s="53" t="s">
        <v>322</v>
      </c>
      <c r="AO214" s="65">
        <f>Q214*12</f>
        <v>230260.17686793971</v>
      </c>
      <c r="AP214" s="65">
        <f>R214*12</f>
        <v>76753.39228931324</v>
      </c>
      <c r="AQ214" s="65">
        <f t="shared" ref="AQ214:AZ214" si="285">X214*12</f>
        <v>0</v>
      </c>
      <c r="AR214" s="65">
        <f t="shared" si="285"/>
        <v>29430.086354991923</v>
      </c>
      <c r="AS214" s="65">
        <f t="shared" si="285"/>
        <v>0</v>
      </c>
      <c r="AT214" s="65">
        <f t="shared" si="285"/>
        <v>38376.69614465662</v>
      </c>
      <c r="AU214" s="65">
        <f t="shared" si="285"/>
        <v>7675.3392289313233</v>
      </c>
      <c r="AV214" s="65">
        <f t="shared" si="285"/>
        <v>44208.96314896892</v>
      </c>
      <c r="AW214" s="65">
        <f t="shared" si="285"/>
        <v>30790.424571104573</v>
      </c>
      <c r="AX214" s="65">
        <f t="shared" si="285"/>
        <v>18208.41192850655</v>
      </c>
      <c r="AY214" s="65">
        <f t="shared" si="285"/>
        <v>0</v>
      </c>
      <c r="AZ214" s="65">
        <f t="shared" si="285"/>
        <v>10591.968135925224</v>
      </c>
      <c r="BB214" s="64"/>
      <c r="BC214" s="66"/>
      <c r="BD214" s="66"/>
      <c r="BE214" s="66"/>
    </row>
    <row r="215" spans="1:177" s="96" customFormat="1" ht="21" customHeight="1" x14ac:dyDescent="0.2">
      <c r="A215" s="50"/>
      <c r="B215" s="468" t="s">
        <v>65</v>
      </c>
      <c r="C215" s="469"/>
      <c r="D215" s="469"/>
      <c r="E215" s="469"/>
      <c r="F215" s="470"/>
      <c r="G215" s="139"/>
      <c r="H215" s="90"/>
      <c r="I215" s="91">
        <f>SUM(I214)</f>
        <v>12300.223123287378</v>
      </c>
      <c r="J215" s="91">
        <f t="shared" ref="J215:AG215" si="286">SUM(J214)</f>
        <v>0</v>
      </c>
      <c r="K215" s="91">
        <f t="shared" si="286"/>
        <v>0</v>
      </c>
      <c r="L215" s="140">
        <f t="shared" si="286"/>
        <v>0</v>
      </c>
      <c r="M215" s="91">
        <f t="shared" si="286"/>
        <v>4.0000000000000002E-4</v>
      </c>
      <c r="N215" s="91">
        <f t="shared" si="286"/>
        <v>492.00892493149513</v>
      </c>
      <c r="O215" s="91">
        <f t="shared" si="286"/>
        <v>12792.232048218873</v>
      </c>
      <c r="P215" s="91">
        <f t="shared" si="286"/>
        <v>25584.464096437747</v>
      </c>
      <c r="Q215" s="91">
        <f t="shared" si="286"/>
        <v>19188.34807232831</v>
      </c>
      <c r="R215" s="91">
        <f t="shared" si="286"/>
        <v>6396.1160241094367</v>
      </c>
      <c r="S215" s="91">
        <f t="shared" si="286"/>
        <v>852.8154698812582</v>
      </c>
      <c r="T215" s="91">
        <f t="shared" si="286"/>
        <v>978.94687787669625</v>
      </c>
      <c r="U215" s="141">
        <f t="shared" si="286"/>
        <v>9594.174036164155</v>
      </c>
      <c r="V215" s="91">
        <f t="shared" si="286"/>
        <v>3198.0580120547183</v>
      </c>
      <c r="W215" s="91">
        <f t="shared" si="286"/>
        <v>0</v>
      </c>
      <c r="X215" s="91">
        <f t="shared" si="286"/>
        <v>0</v>
      </c>
      <c r="Y215" s="91">
        <f t="shared" si="286"/>
        <v>2452.5071962493271</v>
      </c>
      <c r="Z215" s="91">
        <f t="shared" si="286"/>
        <v>0</v>
      </c>
      <c r="AA215" s="91">
        <f t="shared" si="286"/>
        <v>3198.0580120547183</v>
      </c>
      <c r="AB215" s="91">
        <f t="shared" si="286"/>
        <v>639.61160241094365</v>
      </c>
      <c r="AC215" s="91">
        <f t="shared" si="286"/>
        <v>3684.080262414077</v>
      </c>
      <c r="AD215" s="91">
        <f t="shared" si="286"/>
        <v>2565.8687142587146</v>
      </c>
      <c r="AE215" s="91">
        <f t="shared" si="286"/>
        <v>1517.3676607088792</v>
      </c>
      <c r="AF215" s="91">
        <f t="shared" si="286"/>
        <v>0</v>
      </c>
      <c r="AG215" s="91">
        <f t="shared" si="286"/>
        <v>882.66401132710212</v>
      </c>
      <c r="AH215" s="92"/>
      <c r="AI215" s="92"/>
      <c r="AJ215" s="468" t="s">
        <v>65</v>
      </c>
      <c r="AK215" s="469"/>
      <c r="AL215" s="469"/>
      <c r="AM215" s="469"/>
      <c r="AN215" s="470"/>
      <c r="AO215" s="93">
        <f>SUM(AO214)</f>
        <v>230260.17686793971</v>
      </c>
      <c r="AP215" s="93">
        <f t="shared" ref="AP215:AZ215" si="287">SUM(AP214)</f>
        <v>76753.39228931324</v>
      </c>
      <c r="AQ215" s="93">
        <f t="shared" si="287"/>
        <v>0</v>
      </c>
      <c r="AR215" s="93">
        <f t="shared" si="287"/>
        <v>29430.086354991923</v>
      </c>
      <c r="AS215" s="93">
        <f t="shared" si="287"/>
        <v>0</v>
      </c>
      <c r="AT215" s="93">
        <f t="shared" si="287"/>
        <v>38376.69614465662</v>
      </c>
      <c r="AU215" s="93">
        <f t="shared" si="287"/>
        <v>7675.3392289313233</v>
      </c>
      <c r="AV215" s="93">
        <f t="shared" si="287"/>
        <v>44208.96314896892</v>
      </c>
      <c r="AW215" s="93">
        <f t="shared" si="287"/>
        <v>30790.424571104573</v>
      </c>
      <c r="AX215" s="93">
        <f t="shared" si="287"/>
        <v>18208.41192850655</v>
      </c>
      <c r="AY215" s="93">
        <f t="shared" si="287"/>
        <v>0</v>
      </c>
      <c r="AZ215" s="93">
        <f t="shared" si="287"/>
        <v>10591.968135925224</v>
      </c>
      <c r="BA215" s="94"/>
      <c r="BB215" s="92"/>
      <c r="BC215" s="95"/>
      <c r="BD215" s="95"/>
      <c r="BE215" s="95"/>
      <c r="BF215" s="50"/>
      <c r="BG215" s="50"/>
      <c r="BH215" s="50"/>
      <c r="BI215" s="50"/>
      <c r="BJ215" s="50"/>
      <c r="BK215" s="50"/>
      <c r="BL215" s="50"/>
      <c r="BM215" s="50"/>
      <c r="BN215" s="50"/>
      <c r="BO215" s="50"/>
      <c r="BP215" s="50"/>
      <c r="BQ215" s="50"/>
      <c r="BR215" s="50"/>
      <c r="BS215" s="50"/>
      <c r="BT215" s="50"/>
      <c r="BU215" s="50"/>
      <c r="BV215" s="50"/>
      <c r="BW215" s="50"/>
      <c r="BX215" s="50"/>
      <c r="BY215" s="50"/>
      <c r="BZ215" s="50"/>
      <c r="CA215" s="50"/>
      <c r="CB215" s="50"/>
      <c r="CC215" s="50"/>
      <c r="CD215" s="50"/>
      <c r="CE215" s="50"/>
      <c r="CF215" s="50"/>
      <c r="CG215" s="50"/>
      <c r="CH215" s="50"/>
      <c r="CI215" s="50"/>
      <c r="CJ215" s="50"/>
      <c r="CK215" s="50"/>
      <c r="CL215" s="50"/>
      <c r="CM215" s="50"/>
      <c r="CN215" s="50"/>
      <c r="CO215" s="50"/>
      <c r="CP215" s="50"/>
      <c r="CQ215" s="50"/>
      <c r="CR215" s="50"/>
      <c r="CS215" s="50"/>
      <c r="CT215" s="50"/>
      <c r="CU215" s="50"/>
      <c r="CV215" s="50"/>
      <c r="CW215" s="50"/>
      <c r="CX215" s="50"/>
      <c r="CY215" s="50"/>
      <c r="CZ215" s="50"/>
      <c r="DA215" s="50"/>
      <c r="DB215" s="50"/>
      <c r="DC215" s="50"/>
      <c r="DD215" s="50"/>
      <c r="DE215" s="50"/>
      <c r="DF215" s="50"/>
      <c r="DG215" s="50"/>
      <c r="DH215" s="50"/>
      <c r="DI215" s="50"/>
      <c r="DJ215" s="50"/>
      <c r="DK215" s="50"/>
      <c r="DL215" s="50"/>
      <c r="DM215" s="50"/>
      <c r="DN215" s="50"/>
      <c r="DO215" s="50"/>
      <c r="DP215" s="50"/>
      <c r="DQ215" s="50"/>
      <c r="DR215" s="50"/>
      <c r="DS215" s="50"/>
      <c r="DT215" s="50"/>
      <c r="DU215" s="50"/>
      <c r="DV215" s="50"/>
      <c r="DW215" s="50"/>
      <c r="DX215" s="50"/>
      <c r="DY215" s="50"/>
      <c r="DZ215" s="50"/>
      <c r="EA215" s="50"/>
      <c r="EB215" s="50"/>
      <c r="EC215" s="50"/>
      <c r="ED215" s="50"/>
      <c r="EE215" s="50"/>
      <c r="EF215" s="50"/>
      <c r="EG215" s="50"/>
      <c r="EH215" s="50"/>
      <c r="EI215" s="50"/>
      <c r="EJ215" s="50"/>
      <c r="EK215" s="50"/>
      <c r="EL215" s="50"/>
      <c r="EM215" s="50"/>
      <c r="EN215" s="50"/>
      <c r="EO215" s="50"/>
      <c r="EP215" s="50"/>
      <c r="EQ215" s="50"/>
      <c r="ER215" s="50"/>
      <c r="ES215" s="50"/>
      <c r="ET215" s="50"/>
      <c r="EU215" s="50"/>
      <c r="EV215" s="50"/>
      <c r="EW215" s="50"/>
      <c r="EX215" s="50"/>
      <c r="EY215" s="50"/>
      <c r="EZ215" s="50"/>
      <c r="FA215" s="50"/>
      <c r="FB215" s="50"/>
      <c r="FC215" s="50"/>
      <c r="FD215" s="50"/>
      <c r="FE215" s="50"/>
      <c r="FF215" s="50"/>
      <c r="FG215" s="50"/>
      <c r="FH215" s="50"/>
      <c r="FI215" s="50"/>
      <c r="FJ215" s="50"/>
      <c r="FK215" s="50"/>
      <c r="FL215" s="50"/>
      <c r="FM215" s="50"/>
      <c r="FN215" s="50"/>
      <c r="FO215" s="50"/>
      <c r="FP215" s="50"/>
      <c r="FQ215" s="50"/>
      <c r="FR215" s="50"/>
      <c r="FS215" s="50"/>
      <c r="FT215" s="50"/>
      <c r="FU215" s="50"/>
    </row>
    <row r="216" spans="1:177" ht="21" customHeight="1" x14ac:dyDescent="0.2">
      <c r="B216" s="67">
        <v>2</v>
      </c>
      <c r="C216" s="73" t="s">
        <v>66</v>
      </c>
      <c r="D216" s="67">
        <v>8005</v>
      </c>
      <c r="E216" s="72" t="s">
        <v>323</v>
      </c>
      <c r="F216" s="72" t="s">
        <v>324</v>
      </c>
      <c r="G216" s="123">
        <v>38112</v>
      </c>
      <c r="H216" s="56" t="str">
        <f xml:space="preserve"> CONCATENATE(DATEDIF(G216,H$5,"Y")," AÑOS")</f>
        <v>20 AÑOS</v>
      </c>
      <c r="I216" s="57">
        <v>7718.9735970913052</v>
      </c>
      <c r="J216" s="58"/>
      <c r="K216" s="58"/>
      <c r="L216" s="59"/>
      <c r="M216" s="60">
        <v>4.0000000000000002E-4</v>
      </c>
      <c r="N216" s="61">
        <f>I216*0.04</f>
        <v>308.75894388365219</v>
      </c>
      <c r="O216" s="58">
        <f>I216+N216</f>
        <v>8027.7325409749574</v>
      </c>
      <c r="P216" s="61">
        <f t="shared" ref="P216" si="288">O216*2</f>
        <v>16055.465081949915</v>
      </c>
      <c r="Q216" s="61">
        <f t="shared" ref="Q216" si="289">P216*0.75</f>
        <v>12041.598811462436</v>
      </c>
      <c r="R216" s="61">
        <f t="shared" ref="R216" si="290">P216*0.25</f>
        <v>4013.8662704874787</v>
      </c>
      <c r="S216" s="61">
        <f t="shared" ref="S216" si="291">(P216/30)</f>
        <v>535.18216939833053</v>
      </c>
      <c r="T216" s="58">
        <f t="shared" si="227"/>
        <v>614.33561225234359</v>
      </c>
      <c r="U216" s="61">
        <f t="shared" ref="U216" si="292">O216*0.75</f>
        <v>6020.799405731218</v>
      </c>
      <c r="V216" s="58">
        <f t="shared" ref="V216" si="293">O216*0.25</f>
        <v>2006.9331352437393</v>
      </c>
      <c r="W216" s="101">
        <v>7.4999999999999997E-2</v>
      </c>
      <c r="X216" s="63">
        <f>P216*W216</f>
        <v>1204.1598811462436</v>
      </c>
      <c r="Y216" s="61">
        <v>1051.6126098339896</v>
      </c>
      <c r="Z216" s="61">
        <v>0</v>
      </c>
      <c r="AA216" s="61">
        <f>(S216*45)/12</f>
        <v>2006.9331352437393</v>
      </c>
      <c r="AB216" s="61">
        <f>(S216*10)*(0.45*2)/12</f>
        <v>401.38662704874793</v>
      </c>
      <c r="AC216" s="61">
        <v>2516.1883389403492</v>
      </c>
      <c r="AD216" s="61">
        <v>1610.2043564940052</v>
      </c>
      <c r="AE216" s="61">
        <v>952.22019899113263</v>
      </c>
      <c r="AF216" s="61">
        <v>0</v>
      </c>
      <c r="AG216" s="61">
        <f>(P216+AA216+AB216)*0.03</f>
        <v>553.91354532727212</v>
      </c>
      <c r="AH216" s="64"/>
      <c r="AI216" s="64"/>
      <c r="AJ216" s="67">
        <v>2</v>
      </c>
      <c r="AK216" s="73" t="s">
        <v>66</v>
      </c>
      <c r="AL216" s="67">
        <v>8005</v>
      </c>
      <c r="AM216" s="72" t="s">
        <v>323</v>
      </c>
      <c r="AN216" s="72" t="s">
        <v>324</v>
      </c>
      <c r="AO216" s="65">
        <f>Q216*12</f>
        <v>144499.18573754924</v>
      </c>
      <c r="AP216" s="65">
        <f>R216*12</f>
        <v>48166.395245849744</v>
      </c>
      <c r="AQ216" s="65">
        <f t="shared" ref="AQ216:AZ216" si="294">X216*12</f>
        <v>14449.918573754923</v>
      </c>
      <c r="AR216" s="65">
        <f t="shared" si="294"/>
        <v>12619.351318007875</v>
      </c>
      <c r="AS216" s="65">
        <f t="shared" si="294"/>
        <v>0</v>
      </c>
      <c r="AT216" s="65">
        <f t="shared" si="294"/>
        <v>24083.197622924872</v>
      </c>
      <c r="AU216" s="65">
        <f t="shared" si="294"/>
        <v>4816.6395245849753</v>
      </c>
      <c r="AV216" s="65">
        <f t="shared" si="294"/>
        <v>30194.260067284191</v>
      </c>
      <c r="AW216" s="65">
        <f t="shared" si="294"/>
        <v>19322.452277928063</v>
      </c>
      <c r="AX216" s="65">
        <f t="shared" si="294"/>
        <v>11426.642387893591</v>
      </c>
      <c r="AY216" s="65">
        <f t="shared" si="294"/>
        <v>0</v>
      </c>
      <c r="AZ216" s="65">
        <f t="shared" si="294"/>
        <v>6646.9625439272659</v>
      </c>
      <c r="BB216" s="64"/>
      <c r="BC216" s="66"/>
      <c r="BD216" s="66"/>
      <c r="BE216" s="66"/>
    </row>
    <row r="217" spans="1:177" s="96" customFormat="1" ht="21" customHeight="1" x14ac:dyDescent="0.2">
      <c r="A217" s="50"/>
      <c r="B217" s="455" t="s">
        <v>99</v>
      </c>
      <c r="C217" s="456"/>
      <c r="D217" s="456"/>
      <c r="E217" s="143">
        <v>2</v>
      </c>
      <c r="F217" s="88" t="s">
        <v>100</v>
      </c>
      <c r="G217" s="139"/>
      <c r="H217" s="89"/>
      <c r="I217" s="91">
        <f>SUM(I216)</f>
        <v>7718.9735970913052</v>
      </c>
      <c r="J217" s="91">
        <f t="shared" ref="J217:AG217" si="295">SUM(J216)</f>
        <v>0</v>
      </c>
      <c r="K217" s="91">
        <f t="shared" si="295"/>
        <v>0</v>
      </c>
      <c r="L217" s="140">
        <f t="shared" si="295"/>
        <v>0</v>
      </c>
      <c r="M217" s="91">
        <f t="shared" si="295"/>
        <v>4.0000000000000002E-4</v>
      </c>
      <c r="N217" s="91">
        <f t="shared" si="295"/>
        <v>308.75894388365219</v>
      </c>
      <c r="O217" s="91">
        <f t="shared" si="295"/>
        <v>8027.7325409749574</v>
      </c>
      <c r="P217" s="91">
        <f t="shared" si="295"/>
        <v>16055.465081949915</v>
      </c>
      <c r="Q217" s="91">
        <f t="shared" si="295"/>
        <v>12041.598811462436</v>
      </c>
      <c r="R217" s="91">
        <f t="shared" si="295"/>
        <v>4013.8662704874787</v>
      </c>
      <c r="S217" s="91">
        <f t="shared" si="295"/>
        <v>535.18216939833053</v>
      </c>
      <c r="T217" s="91">
        <f t="shared" si="295"/>
        <v>614.33561225234359</v>
      </c>
      <c r="U217" s="141">
        <f t="shared" si="295"/>
        <v>6020.799405731218</v>
      </c>
      <c r="V217" s="91">
        <f t="shared" si="295"/>
        <v>2006.9331352437393</v>
      </c>
      <c r="W217" s="91">
        <f t="shared" si="295"/>
        <v>7.4999999999999997E-2</v>
      </c>
      <c r="X217" s="91">
        <f t="shared" si="295"/>
        <v>1204.1598811462436</v>
      </c>
      <c r="Y217" s="91">
        <f t="shared" si="295"/>
        <v>1051.6126098339896</v>
      </c>
      <c r="Z217" s="91">
        <f t="shared" si="295"/>
        <v>0</v>
      </c>
      <c r="AA217" s="91">
        <f t="shared" si="295"/>
        <v>2006.9331352437393</v>
      </c>
      <c r="AB217" s="91">
        <f t="shared" si="295"/>
        <v>401.38662704874793</v>
      </c>
      <c r="AC217" s="91">
        <f t="shared" si="295"/>
        <v>2516.1883389403492</v>
      </c>
      <c r="AD217" s="91">
        <f t="shared" si="295"/>
        <v>1610.2043564940052</v>
      </c>
      <c r="AE217" s="91">
        <f t="shared" si="295"/>
        <v>952.22019899113263</v>
      </c>
      <c r="AF217" s="91">
        <f t="shared" si="295"/>
        <v>0</v>
      </c>
      <c r="AG217" s="91">
        <f t="shared" si="295"/>
        <v>553.91354532727212</v>
      </c>
      <c r="AH217" s="92"/>
      <c r="AI217" s="92"/>
      <c r="AJ217" s="455" t="s">
        <v>99</v>
      </c>
      <c r="AK217" s="456"/>
      <c r="AL217" s="456"/>
      <c r="AM217" s="143">
        <v>2</v>
      </c>
      <c r="AN217" s="88" t="s">
        <v>100</v>
      </c>
      <c r="AO217" s="93">
        <f>AO216</f>
        <v>144499.18573754924</v>
      </c>
      <c r="AP217" s="93">
        <f t="shared" ref="AP217:AZ217" si="296">AP216</f>
        <v>48166.395245849744</v>
      </c>
      <c r="AQ217" s="93">
        <f t="shared" si="296"/>
        <v>14449.918573754923</v>
      </c>
      <c r="AR217" s="93">
        <f t="shared" si="296"/>
        <v>12619.351318007875</v>
      </c>
      <c r="AS217" s="93">
        <f t="shared" si="296"/>
        <v>0</v>
      </c>
      <c r="AT217" s="93">
        <f t="shared" si="296"/>
        <v>24083.197622924872</v>
      </c>
      <c r="AU217" s="93">
        <f t="shared" si="296"/>
        <v>4816.6395245849753</v>
      </c>
      <c r="AV217" s="93">
        <f t="shared" si="296"/>
        <v>30194.260067284191</v>
      </c>
      <c r="AW217" s="93">
        <f t="shared" si="296"/>
        <v>19322.452277928063</v>
      </c>
      <c r="AX217" s="93">
        <f t="shared" si="296"/>
        <v>11426.642387893591</v>
      </c>
      <c r="AY217" s="93">
        <f t="shared" si="296"/>
        <v>0</v>
      </c>
      <c r="AZ217" s="93">
        <f t="shared" si="296"/>
        <v>6646.9625439272659</v>
      </c>
      <c r="BA217" s="94"/>
      <c r="BB217" s="92"/>
      <c r="BC217" s="95"/>
      <c r="BD217" s="95"/>
      <c r="BE217" s="95"/>
      <c r="BF217" s="50"/>
      <c r="BG217" s="50"/>
      <c r="BH217" s="50"/>
      <c r="BI217" s="50"/>
      <c r="BJ217" s="50"/>
      <c r="BK217" s="50"/>
      <c r="BL217" s="50"/>
      <c r="BM217" s="50"/>
      <c r="BN217" s="50"/>
      <c r="BO217" s="50"/>
      <c r="BP217" s="50"/>
      <c r="BQ217" s="50"/>
      <c r="BR217" s="50"/>
      <c r="BS217" s="50"/>
      <c r="BT217" s="50"/>
      <c r="BU217" s="50"/>
      <c r="BV217" s="50"/>
      <c r="BW217" s="50"/>
      <c r="BX217" s="50"/>
      <c r="BY217" s="50"/>
      <c r="BZ217" s="50"/>
      <c r="CA217" s="50"/>
      <c r="CB217" s="50"/>
      <c r="CC217" s="50"/>
      <c r="CD217" s="50"/>
      <c r="CE217" s="50"/>
      <c r="CF217" s="50"/>
      <c r="CG217" s="50"/>
      <c r="CH217" s="50"/>
      <c r="CI217" s="50"/>
      <c r="CJ217" s="50"/>
      <c r="CK217" s="50"/>
      <c r="CL217" s="50"/>
      <c r="CM217" s="50"/>
      <c r="CN217" s="50"/>
      <c r="CO217" s="50"/>
      <c r="CP217" s="50"/>
      <c r="CQ217" s="50"/>
      <c r="CR217" s="50"/>
      <c r="CS217" s="50"/>
      <c r="CT217" s="50"/>
      <c r="CU217" s="50"/>
      <c r="CV217" s="50"/>
      <c r="CW217" s="50"/>
      <c r="CX217" s="50"/>
      <c r="CY217" s="50"/>
      <c r="CZ217" s="50"/>
      <c r="DA217" s="50"/>
      <c r="DB217" s="50"/>
      <c r="DC217" s="50"/>
      <c r="DD217" s="50"/>
      <c r="DE217" s="50"/>
      <c r="DF217" s="50"/>
      <c r="DG217" s="50"/>
      <c r="DH217" s="50"/>
      <c r="DI217" s="50"/>
      <c r="DJ217" s="50"/>
      <c r="DK217" s="50"/>
      <c r="DL217" s="50"/>
      <c r="DM217" s="50"/>
      <c r="DN217" s="50"/>
      <c r="DO217" s="50"/>
      <c r="DP217" s="50"/>
      <c r="DQ217" s="50"/>
      <c r="DR217" s="50"/>
      <c r="DS217" s="50"/>
      <c r="DT217" s="50"/>
      <c r="DU217" s="50"/>
      <c r="DV217" s="50"/>
      <c r="DW217" s="50"/>
      <c r="DX217" s="50"/>
      <c r="DY217" s="50"/>
      <c r="DZ217" s="50"/>
      <c r="EA217" s="50"/>
      <c r="EB217" s="50"/>
      <c r="EC217" s="50"/>
      <c r="ED217" s="50"/>
      <c r="EE217" s="50"/>
      <c r="EF217" s="50"/>
      <c r="EG217" s="50"/>
      <c r="EH217" s="50"/>
      <c r="EI217" s="50"/>
      <c r="EJ217" s="50"/>
      <c r="EK217" s="50"/>
      <c r="EL217" s="50"/>
      <c r="EM217" s="50"/>
      <c r="EN217" s="50"/>
      <c r="EO217" s="50"/>
      <c r="EP217" s="50"/>
      <c r="EQ217" s="50"/>
      <c r="ER217" s="50"/>
      <c r="ES217" s="50"/>
      <c r="ET217" s="50"/>
      <c r="EU217" s="50"/>
      <c r="EV217" s="50"/>
      <c r="EW217" s="50"/>
      <c r="EX217" s="50"/>
      <c r="EY217" s="50"/>
      <c r="EZ217" s="50"/>
      <c r="FA217" s="50"/>
      <c r="FB217" s="50"/>
      <c r="FC217" s="50"/>
      <c r="FD217" s="50"/>
      <c r="FE217" s="50"/>
      <c r="FF217" s="50"/>
      <c r="FG217" s="50"/>
      <c r="FH217" s="50"/>
      <c r="FI217" s="50"/>
      <c r="FJ217" s="50"/>
      <c r="FK217" s="50"/>
      <c r="FL217" s="50"/>
      <c r="FM217" s="50"/>
      <c r="FN217" s="50"/>
      <c r="FO217" s="50"/>
      <c r="FP217" s="50"/>
      <c r="FQ217" s="50"/>
      <c r="FR217" s="50"/>
      <c r="FS217" s="50"/>
      <c r="FT217" s="50"/>
      <c r="FU217" s="50"/>
    </row>
    <row r="218" spans="1:177" ht="21" customHeight="1" x14ac:dyDescent="0.2">
      <c r="B218" s="457" t="s">
        <v>101</v>
      </c>
      <c r="C218" s="458"/>
      <c r="D218" s="458"/>
      <c r="E218" s="76">
        <v>2</v>
      </c>
      <c r="F218" s="199" t="s">
        <v>325</v>
      </c>
      <c r="G218" s="146"/>
      <c r="H218" s="146"/>
      <c r="I218" s="186">
        <f>I215+I217</f>
        <v>20019.196720378684</v>
      </c>
      <c r="J218" s="186">
        <f t="shared" ref="J218:AG218" si="297">J215+J217</f>
        <v>0</v>
      </c>
      <c r="K218" s="186">
        <f t="shared" si="297"/>
        <v>0</v>
      </c>
      <c r="L218" s="167">
        <f t="shared" si="297"/>
        <v>0</v>
      </c>
      <c r="M218" s="186">
        <f t="shared" si="297"/>
        <v>8.0000000000000004E-4</v>
      </c>
      <c r="N218" s="186">
        <f t="shared" si="297"/>
        <v>800.76786881514727</v>
      </c>
      <c r="O218" s="57">
        <f t="shared" si="297"/>
        <v>20819.964589193831</v>
      </c>
      <c r="P218" s="57">
        <f t="shared" si="297"/>
        <v>41639.929178387662</v>
      </c>
      <c r="Q218" s="57">
        <f t="shared" si="297"/>
        <v>31229.946883790748</v>
      </c>
      <c r="R218" s="57">
        <f t="shared" si="297"/>
        <v>10409.982294596915</v>
      </c>
      <c r="S218" s="57">
        <f t="shared" si="297"/>
        <v>1387.9976392795888</v>
      </c>
      <c r="T218" s="57">
        <f t="shared" si="297"/>
        <v>1593.2824901290398</v>
      </c>
      <c r="U218" s="81">
        <f t="shared" si="297"/>
        <v>15614.973441895374</v>
      </c>
      <c r="V218" s="57">
        <f t="shared" si="297"/>
        <v>5204.9911472984577</v>
      </c>
      <c r="W218" s="57">
        <f t="shared" si="297"/>
        <v>7.4999999999999997E-2</v>
      </c>
      <c r="X218" s="57">
        <f t="shared" si="297"/>
        <v>1204.1598811462436</v>
      </c>
      <c r="Y218" s="57">
        <f t="shared" si="297"/>
        <v>3504.1198060833167</v>
      </c>
      <c r="Z218" s="57">
        <f t="shared" si="297"/>
        <v>0</v>
      </c>
      <c r="AA218" s="57">
        <f t="shared" si="297"/>
        <v>5204.9911472984577</v>
      </c>
      <c r="AB218" s="57">
        <f t="shared" si="297"/>
        <v>1040.9982294596916</v>
      </c>
      <c r="AC218" s="57">
        <f t="shared" si="297"/>
        <v>6200.2686013544262</v>
      </c>
      <c r="AD218" s="57">
        <f t="shared" si="297"/>
        <v>4176.07307075272</v>
      </c>
      <c r="AE218" s="57">
        <f t="shared" si="297"/>
        <v>2469.5878597000119</v>
      </c>
      <c r="AF218" s="57">
        <f t="shared" si="297"/>
        <v>0</v>
      </c>
      <c r="AG218" s="57">
        <f t="shared" si="297"/>
        <v>1436.5775566543743</v>
      </c>
      <c r="AH218" s="92">
        <f>Q218+R218-Y218+Z218+X218+AA218+AB218+AC218+AD218+AE218+AF218+AG218</f>
        <v>59868.465718670275</v>
      </c>
      <c r="AI218" s="92">
        <f>AH218*12</f>
        <v>718421.58862404327</v>
      </c>
      <c r="AJ218" s="457" t="s">
        <v>101</v>
      </c>
      <c r="AK218" s="458"/>
      <c r="AL218" s="458"/>
      <c r="AM218" s="76">
        <v>2</v>
      </c>
      <c r="AN218" s="199" t="s">
        <v>325</v>
      </c>
      <c r="AO218" s="149">
        <f>AO215+AO217</f>
        <v>374759.36260548898</v>
      </c>
      <c r="AP218" s="149">
        <f t="shared" ref="AP218:AZ218" si="298">AP215+AP217</f>
        <v>124919.78753516299</v>
      </c>
      <c r="AQ218" s="149">
        <f t="shared" si="298"/>
        <v>14449.918573754923</v>
      </c>
      <c r="AR218" s="149">
        <f t="shared" si="298"/>
        <v>42049.437672999797</v>
      </c>
      <c r="AS218" s="149">
        <f t="shared" si="298"/>
        <v>0</v>
      </c>
      <c r="AT218" s="149">
        <f t="shared" si="298"/>
        <v>62459.893767581496</v>
      </c>
      <c r="AU218" s="149">
        <f t="shared" si="298"/>
        <v>12491.978753516298</v>
      </c>
      <c r="AV218" s="149">
        <f t="shared" si="298"/>
        <v>74403.223216253115</v>
      </c>
      <c r="AW218" s="149">
        <f t="shared" si="298"/>
        <v>50112.876849032633</v>
      </c>
      <c r="AX218" s="149">
        <f t="shared" si="298"/>
        <v>29635.054316400143</v>
      </c>
      <c r="AY218" s="149">
        <f t="shared" si="298"/>
        <v>0</v>
      </c>
      <c r="AZ218" s="149">
        <f t="shared" si="298"/>
        <v>17238.930679852492</v>
      </c>
      <c r="BA218" s="94"/>
      <c r="BB218" s="92">
        <f>AO218+AP218+AQ218-AR218+AS218+AU218+AV218+AT218+AW218+AX218+AY218+AZ218</f>
        <v>718421.58862404327</v>
      </c>
      <c r="BC218" s="95"/>
      <c r="BD218" s="95"/>
      <c r="BE218" s="95"/>
    </row>
    <row r="219" spans="1:177" ht="21" customHeight="1" x14ac:dyDescent="0.2">
      <c r="B219" s="457" t="s">
        <v>103</v>
      </c>
      <c r="C219" s="458"/>
      <c r="D219" s="458"/>
      <c r="E219" s="76">
        <f>E217-E218</f>
        <v>0</v>
      </c>
      <c r="F219" s="73"/>
      <c r="G219" s="479"/>
      <c r="H219" s="479"/>
      <c r="I219" s="479"/>
      <c r="J219" s="479"/>
      <c r="K219" s="479"/>
      <c r="L219" s="479"/>
      <c r="M219" s="479"/>
      <c r="N219" s="479"/>
      <c r="O219" s="479"/>
      <c r="P219" s="479"/>
      <c r="Q219" s="479"/>
      <c r="R219" s="479"/>
      <c r="S219" s="479"/>
      <c r="T219" s="479"/>
      <c r="U219" s="479"/>
      <c r="V219" s="479"/>
      <c r="W219" s="479"/>
      <c r="X219" s="479"/>
      <c r="Y219" s="479"/>
      <c r="Z219" s="479"/>
      <c r="AA219" s="479"/>
      <c r="AB219" s="479"/>
      <c r="AC219" s="479"/>
      <c r="AD219" s="479"/>
      <c r="AE219" s="479"/>
      <c r="AF219" s="479"/>
      <c r="AG219" s="480"/>
      <c r="AH219" s="64"/>
      <c r="AI219" s="64"/>
      <c r="AJ219" s="457" t="s">
        <v>103</v>
      </c>
      <c r="AK219" s="458"/>
      <c r="AL219" s="458"/>
      <c r="AM219" s="76">
        <f>AM217-AM218</f>
        <v>0</v>
      </c>
      <c r="AN219" s="73"/>
      <c r="AO219" s="481"/>
      <c r="AP219" s="482"/>
      <c r="AQ219" s="482"/>
      <c r="AR219" s="482"/>
      <c r="AS219" s="482"/>
      <c r="AT219" s="482"/>
      <c r="AU219" s="482"/>
      <c r="AV219" s="482"/>
      <c r="AW219" s="482"/>
      <c r="AX219" s="482"/>
      <c r="AY219" s="482"/>
      <c r="AZ219" s="483"/>
      <c r="BA219" s="152"/>
      <c r="BB219" s="92"/>
      <c r="BC219" s="95"/>
      <c r="BD219" s="95"/>
      <c r="BE219" s="95"/>
    </row>
    <row r="220" spans="1:177" ht="21" customHeight="1" x14ac:dyDescent="0.2">
      <c r="B220" s="5"/>
      <c r="C220" s="94"/>
      <c r="D220" s="5"/>
      <c r="E220" s="94"/>
      <c r="G220" s="27"/>
      <c r="H220" s="27"/>
      <c r="I220" s="95"/>
      <c r="J220" s="95"/>
      <c r="K220" s="95"/>
      <c r="L220" s="27"/>
      <c r="M220" s="128"/>
      <c r="N220" s="66"/>
      <c r="O220" s="95"/>
      <c r="P220" s="66"/>
      <c r="Q220" s="66"/>
      <c r="R220" s="66"/>
      <c r="S220" s="66"/>
      <c r="T220" s="95"/>
      <c r="U220" s="66"/>
      <c r="V220" s="95"/>
      <c r="W220" s="129"/>
      <c r="X220" s="130"/>
      <c r="Y220" s="66"/>
      <c r="Z220" s="66"/>
      <c r="AA220" s="66"/>
      <c r="AB220" s="66"/>
      <c r="AC220" s="66"/>
      <c r="AD220" s="66"/>
      <c r="AE220" s="66"/>
      <c r="AF220" s="66"/>
      <c r="AG220" s="66"/>
      <c r="AH220" s="64"/>
      <c r="AI220" s="64"/>
      <c r="AJ220" s="5"/>
      <c r="AK220" s="94"/>
      <c r="AL220" s="5"/>
      <c r="AM220" s="94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2"/>
      <c r="BB220" s="92"/>
      <c r="BC220" s="95"/>
      <c r="BD220" s="95"/>
      <c r="BE220" s="95"/>
    </row>
    <row r="221" spans="1:177" ht="21" customHeight="1" thickBot="1" x14ac:dyDescent="0.25">
      <c r="B221" s="5"/>
      <c r="C221" s="94"/>
      <c r="D221" s="5"/>
      <c r="E221" s="94"/>
      <c r="G221" s="27"/>
      <c r="H221" s="27"/>
      <c r="I221" s="95"/>
      <c r="J221" s="95"/>
      <c r="K221" s="95"/>
      <c r="L221" s="27"/>
      <c r="M221" s="128"/>
      <c r="N221" s="66"/>
      <c r="O221" s="95"/>
      <c r="P221" s="66"/>
      <c r="Q221" s="66"/>
      <c r="R221" s="66"/>
      <c r="S221" s="66"/>
      <c r="T221" s="95"/>
      <c r="U221" s="66"/>
      <c r="V221" s="95"/>
      <c r="W221" s="129"/>
      <c r="X221" s="130"/>
      <c r="Y221" s="66"/>
      <c r="Z221" s="66"/>
      <c r="AA221" s="66"/>
      <c r="AB221" s="66"/>
      <c r="AC221" s="66"/>
      <c r="AD221" s="66"/>
      <c r="AE221" s="66"/>
      <c r="AF221" s="66"/>
      <c r="AG221" s="66"/>
      <c r="AH221" s="64"/>
      <c r="AI221" s="64"/>
      <c r="AJ221" s="5"/>
      <c r="AK221" s="94"/>
      <c r="AL221" s="5"/>
      <c r="AM221" s="94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2"/>
      <c r="BB221" s="92"/>
      <c r="BC221" s="95"/>
      <c r="BD221" s="95"/>
      <c r="BE221" s="95"/>
    </row>
    <row r="222" spans="1:177" s="134" customFormat="1" ht="21" customHeight="1" thickBot="1" x14ac:dyDescent="0.25">
      <c r="A222" s="94"/>
      <c r="B222" s="463" t="s">
        <v>326</v>
      </c>
      <c r="C222" s="464"/>
      <c r="D222" s="464"/>
      <c r="E222" s="465"/>
      <c r="F222" s="466" t="s">
        <v>4</v>
      </c>
      <c r="G222" s="7" t="s">
        <v>5</v>
      </c>
      <c r="H222" s="8" t="s">
        <v>6</v>
      </c>
      <c r="I222" s="9" t="s">
        <v>7</v>
      </c>
      <c r="J222" s="9"/>
      <c r="K222" s="9"/>
      <c r="L222" s="9"/>
      <c r="M222" s="10">
        <v>4.0000000000000002E-4</v>
      </c>
      <c r="N222" s="11" t="s">
        <v>8</v>
      </c>
      <c r="O222" s="12" t="s">
        <v>9</v>
      </c>
      <c r="P222" s="12" t="s">
        <v>10</v>
      </c>
      <c r="Q222" s="13" t="s">
        <v>11</v>
      </c>
      <c r="R222" s="12" t="s">
        <v>12</v>
      </c>
      <c r="S222" s="14" t="s">
        <v>11</v>
      </c>
      <c r="T222" s="15" t="s">
        <v>13</v>
      </c>
      <c r="U222" s="13" t="s">
        <v>11</v>
      </c>
      <c r="V222" s="17" t="s">
        <v>12</v>
      </c>
      <c r="W222" s="18" t="s">
        <v>14</v>
      </c>
      <c r="X222" s="19" t="s">
        <v>15</v>
      </c>
      <c r="Y222" s="15" t="s">
        <v>16</v>
      </c>
      <c r="Z222" s="13" t="s">
        <v>17</v>
      </c>
      <c r="AA222" s="20" t="s">
        <v>18</v>
      </c>
      <c r="AB222" s="17" t="s">
        <v>19</v>
      </c>
      <c r="AC222" s="13" t="s">
        <v>20</v>
      </c>
      <c r="AD222" s="13" t="s">
        <v>21</v>
      </c>
      <c r="AE222" s="13" t="s">
        <v>22</v>
      </c>
      <c r="AF222" s="17" t="s">
        <v>23</v>
      </c>
      <c r="AG222" s="12" t="s">
        <v>24</v>
      </c>
      <c r="AH222" s="132"/>
      <c r="AI222" s="132"/>
      <c r="AJ222" s="463" t="s">
        <v>326</v>
      </c>
      <c r="AK222" s="464"/>
      <c r="AL222" s="464"/>
      <c r="AM222" s="465"/>
      <c r="AN222" s="466" t="s">
        <v>4</v>
      </c>
      <c r="AO222" s="133" t="s">
        <v>11</v>
      </c>
      <c r="AP222" s="12" t="s">
        <v>12</v>
      </c>
      <c r="AQ222" s="23" t="s">
        <v>15</v>
      </c>
      <c r="AR222" s="22" t="s">
        <v>16</v>
      </c>
      <c r="AS222" s="22" t="s">
        <v>25</v>
      </c>
      <c r="AT222" s="20" t="s">
        <v>26</v>
      </c>
      <c r="AU222" s="24" t="s">
        <v>27</v>
      </c>
      <c r="AV222" s="23" t="s">
        <v>20</v>
      </c>
      <c r="AW222" s="22" t="s">
        <v>28</v>
      </c>
      <c r="AX222" s="22" t="s">
        <v>29</v>
      </c>
      <c r="AY222" s="25" t="s">
        <v>23</v>
      </c>
      <c r="AZ222" s="24" t="s">
        <v>24</v>
      </c>
      <c r="BA222" s="94"/>
      <c r="BB222" s="92"/>
      <c r="BC222" s="95"/>
      <c r="BD222" s="95"/>
      <c r="BE222" s="95"/>
      <c r="BF222" s="94"/>
      <c r="BG222" s="94"/>
      <c r="BH222" s="94"/>
      <c r="BI222" s="94"/>
      <c r="BJ222" s="94"/>
      <c r="BK222" s="94"/>
      <c r="BL222" s="94"/>
      <c r="BM222" s="94"/>
      <c r="BN222" s="94"/>
      <c r="BO222" s="94"/>
      <c r="BP222" s="94"/>
      <c r="BQ222" s="94"/>
      <c r="BR222" s="94"/>
      <c r="BS222" s="94"/>
      <c r="BT222" s="94"/>
      <c r="BU222" s="94"/>
      <c r="BV222" s="94"/>
      <c r="BW222" s="94"/>
      <c r="BX222" s="94"/>
      <c r="BY222" s="94"/>
      <c r="BZ222" s="94"/>
      <c r="CA222" s="94"/>
      <c r="CB222" s="94"/>
      <c r="CC222" s="94"/>
      <c r="CD222" s="94"/>
      <c r="CE222" s="94"/>
      <c r="CF222" s="94"/>
      <c r="CG222" s="94"/>
      <c r="CH222" s="94"/>
      <c r="CI222" s="94"/>
      <c r="CJ222" s="94"/>
      <c r="CK222" s="94"/>
      <c r="CL222" s="94"/>
      <c r="CM222" s="94"/>
      <c r="CN222" s="94"/>
      <c r="CO222" s="94"/>
      <c r="CP222" s="94"/>
      <c r="CQ222" s="94"/>
      <c r="CR222" s="94"/>
      <c r="CS222" s="94"/>
      <c r="CT222" s="94"/>
      <c r="CU222" s="94"/>
      <c r="CV222" s="94"/>
      <c r="CW222" s="94"/>
      <c r="CX222" s="94"/>
      <c r="CY222" s="94"/>
      <c r="CZ222" s="94"/>
      <c r="DA222" s="94"/>
      <c r="DB222" s="94"/>
      <c r="DC222" s="94"/>
      <c r="DD222" s="94"/>
      <c r="DE222" s="94"/>
      <c r="DF222" s="94"/>
      <c r="DG222" s="94"/>
      <c r="DH222" s="94"/>
      <c r="DI222" s="94"/>
      <c r="DJ222" s="94"/>
      <c r="DK222" s="94"/>
      <c r="DL222" s="94"/>
      <c r="DM222" s="94"/>
      <c r="DN222" s="94"/>
      <c r="DO222" s="94"/>
      <c r="DP222" s="94"/>
      <c r="DQ222" s="94"/>
      <c r="DR222" s="94"/>
      <c r="DS222" s="94"/>
      <c r="DT222" s="94"/>
      <c r="DU222" s="94"/>
      <c r="DV222" s="94"/>
      <c r="DW222" s="94"/>
      <c r="DX222" s="94"/>
      <c r="DY222" s="94"/>
      <c r="DZ222" s="94"/>
      <c r="EA222" s="94"/>
      <c r="EB222" s="94"/>
      <c r="EC222" s="94"/>
      <c r="ED222" s="94"/>
      <c r="EE222" s="94"/>
      <c r="EF222" s="94"/>
      <c r="EG222" s="94"/>
      <c r="EH222" s="94"/>
      <c r="EI222" s="94"/>
      <c r="EJ222" s="94"/>
      <c r="EK222" s="94"/>
      <c r="EL222" s="94"/>
      <c r="EM222" s="94"/>
      <c r="EN222" s="94"/>
      <c r="EO222" s="94"/>
      <c r="EP222" s="94"/>
      <c r="EQ222" s="94"/>
      <c r="ER222" s="94"/>
      <c r="ES222" s="94"/>
      <c r="ET222" s="94"/>
      <c r="EU222" s="94"/>
      <c r="EV222" s="94"/>
      <c r="EW222" s="94"/>
      <c r="EX222" s="94"/>
      <c r="EY222" s="94"/>
      <c r="EZ222" s="94"/>
      <c r="FA222" s="94"/>
      <c r="FB222" s="94"/>
      <c r="FC222" s="94"/>
      <c r="FD222" s="94"/>
      <c r="FE222" s="94"/>
      <c r="FF222" s="94"/>
      <c r="FG222" s="94"/>
      <c r="FH222" s="94"/>
      <c r="FI222" s="94"/>
      <c r="FJ222" s="94"/>
      <c r="FK222" s="94"/>
      <c r="FL222" s="94"/>
      <c r="FM222" s="94"/>
      <c r="FN222" s="94"/>
      <c r="FO222" s="94"/>
      <c r="FP222" s="94"/>
      <c r="FQ222" s="94"/>
      <c r="FR222" s="94"/>
      <c r="FS222" s="94"/>
      <c r="FT222" s="94"/>
      <c r="FU222" s="94"/>
    </row>
    <row r="223" spans="1:177" s="134" customFormat="1" ht="21" customHeight="1" thickBot="1" x14ac:dyDescent="0.25">
      <c r="A223" s="94"/>
      <c r="B223" s="30" t="s">
        <v>30</v>
      </c>
      <c r="C223" s="6" t="s">
        <v>31</v>
      </c>
      <c r="D223" s="30" t="s">
        <v>105</v>
      </c>
      <c r="E223" s="32" t="s">
        <v>32</v>
      </c>
      <c r="F223" s="467"/>
      <c r="G223" s="33" t="s">
        <v>33</v>
      </c>
      <c r="H223" s="34">
        <v>45657</v>
      </c>
      <c r="I223" s="35">
        <v>2023</v>
      </c>
      <c r="J223" s="35"/>
      <c r="K223" s="35"/>
      <c r="L223" s="35"/>
      <c r="M223" s="36"/>
      <c r="N223" s="37"/>
      <c r="O223" s="38">
        <v>2024</v>
      </c>
      <c r="P223" s="39" t="s">
        <v>34</v>
      </c>
      <c r="Q223" s="40" t="s">
        <v>35</v>
      </c>
      <c r="R223" s="39" t="s">
        <v>36</v>
      </c>
      <c r="S223" s="41" t="s">
        <v>37</v>
      </c>
      <c r="T223" s="42" t="s">
        <v>38</v>
      </c>
      <c r="U223" s="40" t="s">
        <v>39</v>
      </c>
      <c r="V223" s="41" t="s">
        <v>39</v>
      </c>
      <c r="W223" s="44" t="s">
        <v>15</v>
      </c>
      <c r="X223" s="45" t="s">
        <v>35</v>
      </c>
      <c r="Y223" s="42" t="s">
        <v>35</v>
      </c>
      <c r="Z223" s="40" t="s">
        <v>35</v>
      </c>
      <c r="AA223" s="46" t="s">
        <v>35</v>
      </c>
      <c r="AB223" s="41" t="s">
        <v>35</v>
      </c>
      <c r="AC223" s="40" t="s">
        <v>35</v>
      </c>
      <c r="AD223" s="40" t="s">
        <v>35</v>
      </c>
      <c r="AE223" s="40" t="s">
        <v>35</v>
      </c>
      <c r="AF223" s="41" t="s">
        <v>35</v>
      </c>
      <c r="AG223" s="40" t="s">
        <v>35</v>
      </c>
      <c r="AH223" s="135"/>
      <c r="AI223" s="135"/>
      <c r="AJ223" s="30" t="s">
        <v>30</v>
      </c>
      <c r="AK223" s="6" t="s">
        <v>31</v>
      </c>
      <c r="AL223" s="30" t="s">
        <v>105</v>
      </c>
      <c r="AM223" s="32" t="s">
        <v>32</v>
      </c>
      <c r="AN223" s="467"/>
      <c r="AO223" s="46" t="s">
        <v>40</v>
      </c>
      <c r="AP223" s="39" t="s">
        <v>41</v>
      </c>
      <c r="AQ223" s="48" t="s">
        <v>40</v>
      </c>
      <c r="AR223" s="49" t="s">
        <v>40</v>
      </c>
      <c r="AS223" s="49" t="s">
        <v>40</v>
      </c>
      <c r="AT223" s="46" t="s">
        <v>40</v>
      </c>
      <c r="AU223" s="49" t="s">
        <v>40</v>
      </c>
      <c r="AV223" s="48" t="s">
        <v>40</v>
      </c>
      <c r="AW223" s="49" t="s">
        <v>40</v>
      </c>
      <c r="AX223" s="49" t="s">
        <v>40</v>
      </c>
      <c r="AY223" s="48" t="s">
        <v>40</v>
      </c>
      <c r="AZ223" s="49" t="s">
        <v>40</v>
      </c>
      <c r="BA223" s="94"/>
      <c r="BB223" s="92"/>
      <c r="BC223" s="95"/>
      <c r="BD223" s="95"/>
      <c r="BE223" s="95"/>
      <c r="BF223" s="94"/>
      <c r="BG223" s="94"/>
      <c r="BH223" s="94"/>
      <c r="BI223" s="94"/>
      <c r="BJ223" s="94"/>
      <c r="BK223" s="94"/>
      <c r="BL223" s="94"/>
      <c r="BM223" s="94"/>
      <c r="BN223" s="94"/>
      <c r="BO223" s="94"/>
      <c r="BP223" s="94"/>
      <c r="BQ223" s="94"/>
      <c r="BR223" s="94"/>
      <c r="BS223" s="94"/>
      <c r="BT223" s="94"/>
      <c r="BU223" s="94"/>
      <c r="BV223" s="94"/>
      <c r="BW223" s="94"/>
      <c r="BX223" s="94"/>
      <c r="BY223" s="94"/>
      <c r="BZ223" s="94"/>
      <c r="CA223" s="94"/>
      <c r="CB223" s="94"/>
      <c r="CC223" s="94"/>
      <c r="CD223" s="94"/>
      <c r="CE223" s="94"/>
      <c r="CF223" s="94"/>
      <c r="CG223" s="94"/>
      <c r="CH223" s="94"/>
      <c r="CI223" s="94"/>
      <c r="CJ223" s="94"/>
      <c r="CK223" s="94"/>
      <c r="CL223" s="94"/>
      <c r="CM223" s="94"/>
      <c r="CN223" s="94"/>
      <c r="CO223" s="94"/>
      <c r="CP223" s="94"/>
      <c r="CQ223" s="94"/>
      <c r="CR223" s="94"/>
      <c r="CS223" s="94"/>
      <c r="CT223" s="94"/>
      <c r="CU223" s="94"/>
      <c r="CV223" s="94"/>
      <c r="CW223" s="94"/>
      <c r="CX223" s="94"/>
      <c r="CY223" s="94"/>
      <c r="CZ223" s="94"/>
      <c r="DA223" s="94"/>
      <c r="DB223" s="94"/>
      <c r="DC223" s="94"/>
      <c r="DD223" s="94"/>
      <c r="DE223" s="94"/>
      <c r="DF223" s="94"/>
      <c r="DG223" s="94"/>
      <c r="DH223" s="94"/>
      <c r="DI223" s="94"/>
      <c r="DJ223" s="94"/>
      <c r="DK223" s="94"/>
      <c r="DL223" s="94"/>
      <c r="DM223" s="94"/>
      <c r="DN223" s="94"/>
      <c r="DO223" s="94"/>
      <c r="DP223" s="94"/>
      <c r="DQ223" s="94"/>
      <c r="DR223" s="94"/>
      <c r="DS223" s="94"/>
      <c r="DT223" s="94"/>
      <c r="DU223" s="94"/>
      <c r="DV223" s="94"/>
      <c r="DW223" s="94"/>
      <c r="DX223" s="94"/>
      <c r="DY223" s="94"/>
      <c r="DZ223" s="94"/>
      <c r="EA223" s="94"/>
      <c r="EB223" s="94"/>
      <c r="EC223" s="94"/>
      <c r="ED223" s="94"/>
      <c r="EE223" s="94"/>
      <c r="EF223" s="94"/>
      <c r="EG223" s="94"/>
      <c r="EH223" s="94"/>
      <c r="EI223" s="94"/>
      <c r="EJ223" s="94"/>
      <c r="EK223" s="94"/>
      <c r="EL223" s="94"/>
      <c r="EM223" s="94"/>
      <c r="EN223" s="94"/>
      <c r="EO223" s="94"/>
      <c r="EP223" s="94"/>
      <c r="EQ223" s="94"/>
      <c r="ER223" s="94"/>
      <c r="ES223" s="94"/>
      <c r="ET223" s="94"/>
      <c r="EU223" s="94"/>
      <c r="EV223" s="94"/>
      <c r="EW223" s="94"/>
      <c r="EX223" s="94"/>
      <c r="EY223" s="94"/>
      <c r="EZ223" s="94"/>
      <c r="FA223" s="94"/>
      <c r="FB223" s="94"/>
      <c r="FC223" s="94"/>
      <c r="FD223" s="94"/>
      <c r="FE223" s="94"/>
      <c r="FF223" s="94"/>
      <c r="FG223" s="94"/>
      <c r="FH223" s="94"/>
      <c r="FI223" s="94"/>
      <c r="FJ223" s="94"/>
      <c r="FK223" s="94"/>
      <c r="FL223" s="94"/>
      <c r="FM223" s="94"/>
      <c r="FN223" s="94"/>
      <c r="FO223" s="94"/>
      <c r="FP223" s="94"/>
      <c r="FQ223" s="94"/>
      <c r="FR223" s="94"/>
      <c r="FS223" s="94"/>
      <c r="FT223" s="94"/>
      <c r="FU223" s="94"/>
    </row>
    <row r="224" spans="1:177" s="364" customFormat="1" ht="21" customHeight="1" x14ac:dyDescent="0.2">
      <c r="B224" s="365">
        <v>1</v>
      </c>
      <c r="C224" s="372" t="s">
        <v>42</v>
      </c>
      <c r="D224" s="365">
        <v>9115</v>
      </c>
      <c r="E224" s="371" t="s">
        <v>327</v>
      </c>
      <c r="F224" s="371" t="s">
        <v>328</v>
      </c>
      <c r="G224" s="55">
        <v>43435</v>
      </c>
      <c r="H224" s="56" t="str">
        <f t="shared" ref="H224:H225" si="299" xml:space="preserve"> CONCATENATE(DATEDIF(G224,H$5,"Y")," AÑOS")</f>
        <v>6 AÑOS</v>
      </c>
      <c r="I224" s="57">
        <v>7677.5349578854275</v>
      </c>
      <c r="J224" s="58">
        <v>9130</v>
      </c>
      <c r="K224" s="108">
        <f>J224-I224</f>
        <v>1452.4650421145725</v>
      </c>
      <c r="L224" s="173">
        <f>K224*100/I224</f>
        <v>18.918377449037564</v>
      </c>
      <c r="M224" s="60">
        <v>1.892E-3</v>
      </c>
      <c r="N224" s="61">
        <f>I224*0.189184</f>
        <v>1452.4667734725967</v>
      </c>
      <c r="O224" s="58">
        <f t="shared" ref="O224:O225" si="300">I224+N224</f>
        <v>9130.0017313580247</v>
      </c>
      <c r="P224" s="61">
        <f t="shared" ref="P224:P225" si="301">O224*2</f>
        <v>18260.003462716049</v>
      </c>
      <c r="Q224" s="61">
        <f t="shared" ref="Q224:Q225" si="302">P224*0.75</f>
        <v>13695.002597037037</v>
      </c>
      <c r="R224" s="61">
        <f t="shared" ref="R224:R225" si="303">P224*0.25</f>
        <v>4565.0008656790123</v>
      </c>
      <c r="S224" s="61">
        <f t="shared" ref="S224:S225" si="304">(P224/30)</f>
        <v>608.66678209053498</v>
      </c>
      <c r="T224" s="58">
        <f t="shared" ref="T224:T225" si="305">S224*1.1479</f>
        <v>698.68859916172505</v>
      </c>
      <c r="U224" s="61">
        <f t="shared" ref="U224:U225" si="306">O224*0.75</f>
        <v>6847.5012985185185</v>
      </c>
      <c r="V224" s="58">
        <f t="shared" ref="V224:V225" si="307">O224*0.25</f>
        <v>2282.5004328395062</v>
      </c>
      <c r="W224" s="62">
        <v>0</v>
      </c>
      <c r="X224" s="63">
        <f t="shared" ref="X224:X225" si="308">P224*W224</f>
        <v>0</v>
      </c>
      <c r="Y224" s="61">
        <v>1334</v>
      </c>
      <c r="Z224" s="61">
        <v>0</v>
      </c>
      <c r="AA224" s="61">
        <f t="shared" ref="AA224:AA225" si="309">(S224*45)/12</f>
        <v>2282.5004328395062</v>
      </c>
      <c r="AB224" s="61">
        <f t="shared" ref="AB224:AB225" si="310">(S224*10)*(0.45*2)/12</f>
        <v>456.50008656790123</v>
      </c>
      <c r="AC224" s="61">
        <v>2773.13</v>
      </c>
      <c r="AD224" s="61">
        <v>1832.51</v>
      </c>
      <c r="AE224" s="61">
        <v>1082.97</v>
      </c>
      <c r="AF224" s="61">
        <v>0</v>
      </c>
      <c r="AG224" s="61">
        <f t="shared" ref="AG224:AG225" si="311">(P224+AA224+AB224)*0.03</f>
        <v>629.97011946370378</v>
      </c>
      <c r="AH224" s="64"/>
      <c r="AI224" s="64"/>
      <c r="AJ224" s="365">
        <v>1</v>
      </c>
      <c r="AK224" s="372" t="s">
        <v>42</v>
      </c>
      <c r="AL224" s="365">
        <v>9115</v>
      </c>
      <c r="AM224" s="371" t="s">
        <v>327</v>
      </c>
      <c r="AN224" s="371" t="s">
        <v>328</v>
      </c>
      <c r="AO224" s="368">
        <f t="shared" ref="AO224:AP224" si="312">Q224*3</f>
        <v>41085.007791111115</v>
      </c>
      <c r="AP224" s="368">
        <f t="shared" si="312"/>
        <v>13695.002597037037</v>
      </c>
      <c r="AQ224" s="368">
        <f t="shared" ref="AQ224:AZ224" si="313">X224*3</f>
        <v>0</v>
      </c>
      <c r="AR224" s="368">
        <f t="shared" si="313"/>
        <v>4002</v>
      </c>
      <c r="AS224" s="368">
        <f t="shared" si="313"/>
        <v>0</v>
      </c>
      <c r="AT224" s="368">
        <f t="shared" si="313"/>
        <v>6847.5012985185185</v>
      </c>
      <c r="AU224" s="368">
        <f t="shared" si="313"/>
        <v>1369.5002597037037</v>
      </c>
      <c r="AV224" s="368">
        <f t="shared" si="313"/>
        <v>8319.39</v>
      </c>
      <c r="AW224" s="368">
        <f t="shared" si="313"/>
        <v>5497.53</v>
      </c>
      <c r="AX224" s="368">
        <f t="shared" si="313"/>
        <v>3248.91</v>
      </c>
      <c r="AY224" s="368">
        <f t="shared" si="313"/>
        <v>0</v>
      </c>
      <c r="AZ224" s="368">
        <f t="shared" si="313"/>
        <v>1889.9103583911115</v>
      </c>
      <c r="BB224" s="64"/>
      <c r="BC224" s="66"/>
      <c r="BD224" s="66"/>
      <c r="BE224" s="66"/>
    </row>
    <row r="225" spans="1:177" ht="21" customHeight="1" x14ac:dyDescent="0.2">
      <c r="B225" s="51">
        <v>2</v>
      </c>
      <c r="C225" s="73" t="s">
        <v>42</v>
      </c>
      <c r="D225" s="51">
        <v>4074</v>
      </c>
      <c r="E225" s="77" t="s">
        <v>329</v>
      </c>
      <c r="F225" s="72" t="s">
        <v>330</v>
      </c>
      <c r="G225" s="169">
        <v>44479</v>
      </c>
      <c r="H225" s="56" t="str">
        <f t="shared" si="299"/>
        <v>3 AÑOS</v>
      </c>
      <c r="I225" s="57">
        <v>20122.78919356496</v>
      </c>
      <c r="J225" s="58"/>
      <c r="K225" s="58"/>
      <c r="L225" s="59"/>
      <c r="M225" s="60">
        <v>4.0000000000000002E-4</v>
      </c>
      <c r="N225" s="61">
        <f t="shared" ref="N225" si="314">I225*0.04</f>
        <v>804.91156774259844</v>
      </c>
      <c r="O225" s="58">
        <f t="shared" si="300"/>
        <v>20927.700761307558</v>
      </c>
      <c r="P225" s="61">
        <f t="shared" si="301"/>
        <v>41855.401522615117</v>
      </c>
      <c r="Q225" s="61">
        <f t="shared" si="302"/>
        <v>31391.551141961339</v>
      </c>
      <c r="R225" s="61">
        <f t="shared" si="303"/>
        <v>10463.850380653779</v>
      </c>
      <c r="S225" s="61">
        <f t="shared" si="304"/>
        <v>1395.1800507538371</v>
      </c>
      <c r="T225" s="58">
        <f t="shared" si="305"/>
        <v>1601.5271802603295</v>
      </c>
      <c r="U225" s="61">
        <f t="shared" si="306"/>
        <v>15695.77557098067</v>
      </c>
      <c r="V225" s="58">
        <f t="shared" si="307"/>
        <v>5231.9251903268896</v>
      </c>
      <c r="W225" s="62">
        <v>0</v>
      </c>
      <c r="X225" s="63">
        <f t="shared" si="308"/>
        <v>0</v>
      </c>
      <c r="Y225" s="61">
        <v>5071.4070045893077</v>
      </c>
      <c r="Z225" s="61">
        <v>0</v>
      </c>
      <c r="AA225" s="61">
        <f t="shared" si="309"/>
        <v>5231.9251903268896</v>
      </c>
      <c r="AB225" s="61">
        <f t="shared" si="310"/>
        <v>1046.3850380653778</v>
      </c>
      <c r="AC225" s="61">
        <v>5678.27675445772</v>
      </c>
      <c r="AD225" s="61">
        <v>4197.6828158213366</v>
      </c>
      <c r="AE225" s="61">
        <v>2482.3671294035107</v>
      </c>
      <c r="AF225" s="61">
        <v>0</v>
      </c>
      <c r="AG225" s="61">
        <f t="shared" si="311"/>
        <v>1444.0113525302213</v>
      </c>
      <c r="AH225" s="64"/>
      <c r="AI225" s="64"/>
      <c r="AJ225" s="51">
        <v>2</v>
      </c>
      <c r="AK225" s="73" t="s">
        <v>42</v>
      </c>
      <c r="AL225" s="51">
        <v>4074</v>
      </c>
      <c r="AM225" s="77" t="s">
        <v>329</v>
      </c>
      <c r="AN225" s="72" t="s">
        <v>330</v>
      </c>
      <c r="AO225" s="138">
        <f>Q225*12</f>
        <v>376698.6137035361</v>
      </c>
      <c r="AP225" s="65">
        <f>R225*12</f>
        <v>125566.20456784536</v>
      </c>
      <c r="AQ225" s="65">
        <f t="shared" ref="AQ225:AZ225" si="315">X225*12</f>
        <v>0</v>
      </c>
      <c r="AR225" s="65">
        <f t="shared" si="315"/>
        <v>60856.884055071692</v>
      </c>
      <c r="AS225" s="65">
        <f t="shared" si="315"/>
        <v>0</v>
      </c>
      <c r="AT225" s="65">
        <f t="shared" si="315"/>
        <v>62783.102283922679</v>
      </c>
      <c r="AU225" s="65">
        <f t="shared" si="315"/>
        <v>12556.620456784534</v>
      </c>
      <c r="AV225" s="65">
        <f t="shared" si="315"/>
        <v>68139.321053492633</v>
      </c>
      <c r="AW225" s="65">
        <f t="shared" si="315"/>
        <v>50372.193789856043</v>
      </c>
      <c r="AX225" s="65">
        <f t="shared" si="315"/>
        <v>29788.40555284213</v>
      </c>
      <c r="AY225" s="65">
        <f t="shared" si="315"/>
        <v>0</v>
      </c>
      <c r="AZ225" s="65">
        <f t="shared" si="315"/>
        <v>17328.136230362656</v>
      </c>
      <c r="BB225" s="64"/>
      <c r="BC225" s="66"/>
      <c r="BD225" s="66"/>
      <c r="BE225" s="66"/>
    </row>
    <row r="226" spans="1:177" s="96" customFormat="1" ht="21" customHeight="1" x14ac:dyDescent="0.2">
      <c r="A226" s="50"/>
      <c r="B226" s="468" t="s">
        <v>65</v>
      </c>
      <c r="C226" s="469"/>
      <c r="D226" s="469"/>
      <c r="E226" s="469"/>
      <c r="F226" s="470"/>
      <c r="G226" s="139"/>
      <c r="H226" s="90"/>
      <c r="I226" s="91">
        <f>SUM(I224:I225)</f>
        <v>27800.32415145039</v>
      </c>
      <c r="J226" s="91">
        <f t="shared" ref="J226:AG226" si="316">SUM(J224:J225)</f>
        <v>9130</v>
      </c>
      <c r="K226" s="91">
        <f t="shared" si="316"/>
        <v>1452.4650421145725</v>
      </c>
      <c r="L226" s="91">
        <f t="shared" si="316"/>
        <v>18.918377449037564</v>
      </c>
      <c r="M226" s="91">
        <f t="shared" si="316"/>
        <v>2.2920000000000002E-3</v>
      </c>
      <c r="N226" s="91">
        <f t="shared" si="316"/>
        <v>2257.3783412151952</v>
      </c>
      <c r="O226" s="91">
        <f t="shared" si="316"/>
        <v>30057.702492665583</v>
      </c>
      <c r="P226" s="91">
        <f t="shared" si="316"/>
        <v>60115.404985331166</v>
      </c>
      <c r="Q226" s="91">
        <f t="shared" si="316"/>
        <v>45086.55373899838</v>
      </c>
      <c r="R226" s="91">
        <f t="shared" si="316"/>
        <v>15028.851246332792</v>
      </c>
      <c r="S226" s="91">
        <f t="shared" si="316"/>
        <v>2003.8468328443721</v>
      </c>
      <c r="T226" s="91">
        <f t="shared" si="316"/>
        <v>2300.2157794220548</v>
      </c>
      <c r="U226" s="91">
        <f t="shared" si="316"/>
        <v>22543.27686949919</v>
      </c>
      <c r="V226" s="91">
        <f t="shared" si="316"/>
        <v>7514.4256231663958</v>
      </c>
      <c r="W226" s="91">
        <f t="shared" si="316"/>
        <v>0</v>
      </c>
      <c r="X226" s="91">
        <f t="shared" si="316"/>
        <v>0</v>
      </c>
      <c r="Y226" s="91">
        <f t="shared" si="316"/>
        <v>6405.4070045893077</v>
      </c>
      <c r="Z226" s="91">
        <f t="shared" si="316"/>
        <v>0</v>
      </c>
      <c r="AA226" s="91">
        <f t="shared" si="316"/>
        <v>7514.4256231663958</v>
      </c>
      <c r="AB226" s="91">
        <f t="shared" si="316"/>
        <v>1502.885124633279</v>
      </c>
      <c r="AC226" s="91">
        <f t="shared" si="316"/>
        <v>8451.4067544577192</v>
      </c>
      <c r="AD226" s="91">
        <f t="shared" si="316"/>
        <v>6030.1928158213368</v>
      </c>
      <c r="AE226" s="91">
        <f t="shared" si="316"/>
        <v>3565.3371294035105</v>
      </c>
      <c r="AF226" s="91">
        <f t="shared" si="316"/>
        <v>0</v>
      </c>
      <c r="AG226" s="91">
        <f t="shared" si="316"/>
        <v>2073.981471993925</v>
      </c>
      <c r="AH226" s="92"/>
      <c r="AI226" s="92"/>
      <c r="AJ226" s="468" t="s">
        <v>65</v>
      </c>
      <c r="AK226" s="469"/>
      <c r="AL226" s="469"/>
      <c r="AM226" s="469"/>
      <c r="AN226" s="470"/>
      <c r="AO226" s="144">
        <f>SUM(AO224:AO225)+411665.4</f>
        <v>829449.02149464726</v>
      </c>
      <c r="AP226" s="144">
        <f>SUM(AP224:AP225)+137221.8</f>
        <v>276483.00716488238</v>
      </c>
      <c r="AQ226" s="144">
        <f t="shared" ref="AQ226:AY226" si="317">SUM(AQ224:AQ225)</f>
        <v>0</v>
      </c>
      <c r="AR226" s="144">
        <f>SUM(AR224:AR225)+34364.91</f>
        <v>99223.794055071688</v>
      </c>
      <c r="AS226" s="144">
        <f t="shared" si="317"/>
        <v>0</v>
      </c>
      <c r="AT226" s="144">
        <f>SUM(AT224:AT225)+68610.9</f>
        <v>138241.50358244119</v>
      </c>
      <c r="AU226" s="144">
        <f>SUM(AU224:AU225)+13722.18</f>
        <v>27648.300716488237</v>
      </c>
      <c r="AV226" s="144">
        <f>SUM(AV224:AV225)+87015.06</f>
        <v>163473.77105349262</v>
      </c>
      <c r="AW226" s="144">
        <f>SUM(AW224:AW225)+55047.96</f>
        <v>110917.68378985603</v>
      </c>
      <c r="AX226" s="144">
        <f>SUM(AX224:AX225)+32553.49</f>
        <v>65590.805552842139</v>
      </c>
      <c r="AY226" s="144">
        <f t="shared" si="317"/>
        <v>0</v>
      </c>
      <c r="AZ226" s="144">
        <f>SUM(AZ224:AZ225)+18936.61</f>
        <v>38154.656588753773</v>
      </c>
      <c r="BA226" s="94"/>
      <c r="BB226" s="92"/>
      <c r="BC226" s="95"/>
      <c r="BD226" s="95"/>
      <c r="BE226" s="95"/>
      <c r="BF226" s="50"/>
      <c r="BG226" s="50"/>
      <c r="BH226" s="50"/>
      <c r="BI226" s="50"/>
      <c r="BJ226" s="50"/>
      <c r="BK226" s="50"/>
      <c r="BL226" s="50"/>
      <c r="BM226" s="50"/>
      <c r="BN226" s="50"/>
      <c r="BO226" s="50"/>
      <c r="BP226" s="50"/>
      <c r="BQ226" s="50"/>
      <c r="BR226" s="50"/>
      <c r="BS226" s="50"/>
      <c r="BT226" s="50"/>
      <c r="BU226" s="50"/>
      <c r="BV226" s="50"/>
      <c r="BW226" s="50"/>
      <c r="BX226" s="50"/>
      <c r="BY226" s="50"/>
      <c r="BZ226" s="50"/>
      <c r="CA226" s="50"/>
      <c r="CB226" s="50"/>
      <c r="CC226" s="50"/>
      <c r="CD226" s="50"/>
      <c r="CE226" s="50"/>
      <c r="CF226" s="50"/>
      <c r="CG226" s="50"/>
      <c r="CH226" s="50"/>
      <c r="CI226" s="50"/>
      <c r="CJ226" s="50"/>
      <c r="CK226" s="50"/>
      <c r="CL226" s="50"/>
      <c r="CM226" s="50"/>
      <c r="CN226" s="50"/>
      <c r="CO226" s="50"/>
      <c r="CP226" s="50"/>
      <c r="CQ226" s="50"/>
      <c r="CR226" s="50"/>
      <c r="CS226" s="50"/>
      <c r="CT226" s="50"/>
      <c r="CU226" s="50"/>
      <c r="CV226" s="50"/>
      <c r="CW226" s="50"/>
      <c r="CX226" s="50"/>
      <c r="CY226" s="50"/>
      <c r="CZ226" s="50"/>
      <c r="DA226" s="50"/>
      <c r="DB226" s="50"/>
      <c r="DC226" s="50"/>
      <c r="DD226" s="50"/>
      <c r="DE226" s="50"/>
      <c r="DF226" s="50"/>
      <c r="DG226" s="50"/>
      <c r="DH226" s="50"/>
      <c r="DI226" s="50"/>
      <c r="DJ226" s="50"/>
      <c r="DK226" s="50"/>
      <c r="DL226" s="50"/>
      <c r="DM226" s="50"/>
      <c r="DN226" s="50"/>
      <c r="DO226" s="50"/>
      <c r="DP226" s="50"/>
      <c r="DQ226" s="50"/>
      <c r="DR226" s="50"/>
      <c r="DS226" s="50"/>
      <c r="DT226" s="50"/>
      <c r="DU226" s="50"/>
      <c r="DV226" s="50"/>
      <c r="DW226" s="50"/>
      <c r="DX226" s="50"/>
      <c r="DY226" s="50"/>
      <c r="DZ226" s="50"/>
      <c r="EA226" s="50"/>
      <c r="EB226" s="50"/>
      <c r="EC226" s="50"/>
      <c r="ED226" s="50"/>
      <c r="EE226" s="50"/>
      <c r="EF226" s="50"/>
      <c r="EG226" s="50"/>
      <c r="EH226" s="50"/>
      <c r="EI226" s="50"/>
      <c r="EJ226" s="50"/>
      <c r="EK226" s="50"/>
      <c r="EL226" s="50"/>
      <c r="EM226" s="50"/>
      <c r="EN226" s="50"/>
      <c r="EO226" s="50"/>
      <c r="EP226" s="50"/>
      <c r="EQ226" s="50"/>
      <c r="ER226" s="50"/>
      <c r="ES226" s="50"/>
      <c r="ET226" s="50"/>
      <c r="EU226" s="50"/>
      <c r="EV226" s="50"/>
      <c r="EW226" s="50"/>
      <c r="EX226" s="50"/>
      <c r="EY226" s="50"/>
      <c r="EZ226" s="50"/>
      <c r="FA226" s="50"/>
      <c r="FB226" s="50"/>
      <c r="FC226" s="50"/>
      <c r="FD226" s="50"/>
      <c r="FE226" s="50"/>
      <c r="FF226" s="50"/>
      <c r="FG226" s="50"/>
      <c r="FH226" s="50"/>
      <c r="FI226" s="50"/>
      <c r="FJ226" s="50"/>
      <c r="FK226" s="50"/>
      <c r="FL226" s="50"/>
      <c r="FM226" s="50"/>
      <c r="FN226" s="50"/>
      <c r="FO226" s="50"/>
      <c r="FP226" s="50"/>
      <c r="FQ226" s="50"/>
      <c r="FR226" s="50"/>
      <c r="FS226" s="50"/>
      <c r="FT226" s="50"/>
      <c r="FU226" s="50"/>
    </row>
    <row r="227" spans="1:177" ht="21" customHeight="1" x14ac:dyDescent="0.2">
      <c r="B227" s="67">
        <v>3</v>
      </c>
      <c r="C227" s="73" t="s">
        <v>66</v>
      </c>
      <c r="D227" s="67">
        <v>9120</v>
      </c>
      <c r="E227" s="72" t="s">
        <v>331</v>
      </c>
      <c r="F227" s="72" t="s">
        <v>332</v>
      </c>
      <c r="G227" s="55">
        <v>43481</v>
      </c>
      <c r="H227" s="56" t="str">
        <f t="shared" ref="H227:H254" si="318" xml:space="preserve"> CONCATENATE(DATEDIF(G227,H$5,"Y")," AÑOS")</f>
        <v>5 AÑOS</v>
      </c>
      <c r="I227" s="57">
        <v>4087.8691884117488</v>
      </c>
      <c r="J227" s="58"/>
      <c r="K227" s="58"/>
      <c r="L227" s="59"/>
      <c r="M227" s="60">
        <v>4.0000000000000002E-4</v>
      </c>
      <c r="N227" s="61">
        <f t="shared" ref="N227:N258" si="319">I227*0.04</f>
        <v>163.51476753646995</v>
      </c>
      <c r="O227" s="58">
        <f t="shared" ref="O227:O241" si="320">I227+N227</f>
        <v>4251.3839559482185</v>
      </c>
      <c r="P227" s="61">
        <f t="shared" ref="P227:P276" si="321">O227*2</f>
        <v>8502.767911896437</v>
      </c>
      <c r="Q227" s="61">
        <f t="shared" ref="Q227:Q276" si="322">P227*0.75</f>
        <v>6377.0759339223277</v>
      </c>
      <c r="R227" s="61">
        <f t="shared" ref="R227:R276" si="323">P227*0.25</f>
        <v>2125.6919779741092</v>
      </c>
      <c r="S227" s="61">
        <f t="shared" ref="S227:S276" si="324">(P227/30)</f>
        <v>283.42559706321458</v>
      </c>
      <c r="T227" s="58">
        <f t="shared" ref="T227:T276" si="325">S227*1.1479</f>
        <v>325.344242868864</v>
      </c>
      <c r="U227" s="61">
        <f t="shared" ref="U227:U276" si="326">O227*0.75</f>
        <v>3188.5379669611639</v>
      </c>
      <c r="V227" s="58">
        <f t="shared" ref="V227:V276" si="327">O227*0.25</f>
        <v>1062.8459889870546</v>
      </c>
      <c r="W227" s="101">
        <v>2.5000000000000001E-2</v>
      </c>
      <c r="X227" s="63">
        <f t="shared" ref="X227:X276" si="328">P227*W227</f>
        <v>212.56919779741094</v>
      </c>
      <c r="Y227" s="61">
        <v>130.66512561074921</v>
      </c>
      <c r="Z227" s="61">
        <v>0</v>
      </c>
      <c r="AA227" s="61">
        <f t="shared" ref="AA227:AA276" si="329">(S227*45)/12</f>
        <v>1062.8459889870546</v>
      </c>
      <c r="AB227" s="61">
        <f t="shared" ref="AB227:AB276" si="330">(S227*10)*(0.45*2)/12</f>
        <v>212.56919779741096</v>
      </c>
      <c r="AC227" s="61">
        <v>1594.4382891661523</v>
      </c>
      <c r="AD227" s="61">
        <v>795.25520005650776</v>
      </c>
      <c r="AE227" s="61">
        <v>504.28357644673929</v>
      </c>
      <c r="AF227" s="61">
        <v>0</v>
      </c>
      <c r="AG227" s="61">
        <f t="shared" ref="AG227:AG276" si="331">(P227+AA227+AB227)*0.03</f>
        <v>293.34549296042707</v>
      </c>
      <c r="AH227" s="64"/>
      <c r="AI227" s="64"/>
      <c r="AJ227" s="67">
        <v>3</v>
      </c>
      <c r="AK227" s="73" t="s">
        <v>66</v>
      </c>
      <c r="AL227" s="67">
        <v>9120</v>
      </c>
      <c r="AM227" s="72" t="s">
        <v>331</v>
      </c>
      <c r="AN227" s="72" t="s">
        <v>332</v>
      </c>
      <c r="AO227" s="138">
        <f>Q227*12</f>
        <v>76524.911207067926</v>
      </c>
      <c r="AP227" s="65">
        <f>R227*12</f>
        <v>25508.303735689311</v>
      </c>
      <c r="AQ227" s="65">
        <f t="shared" ref="AQ227:AZ227" si="332">X227*12</f>
        <v>2550.8303735689315</v>
      </c>
      <c r="AR227" s="65">
        <f t="shared" si="332"/>
        <v>1567.9815073289906</v>
      </c>
      <c r="AS227" s="65">
        <f t="shared" si="332"/>
        <v>0</v>
      </c>
      <c r="AT227" s="65">
        <f t="shared" si="332"/>
        <v>12754.151867844655</v>
      </c>
      <c r="AU227" s="65">
        <f t="shared" si="332"/>
        <v>2550.8303735689315</v>
      </c>
      <c r="AV227" s="65">
        <f t="shared" si="332"/>
        <v>19133.259469993827</v>
      </c>
      <c r="AW227" s="65">
        <f t="shared" si="332"/>
        <v>9543.0624006780927</v>
      </c>
      <c r="AX227" s="65">
        <f t="shared" si="332"/>
        <v>6051.4029173608715</v>
      </c>
      <c r="AY227" s="65">
        <f t="shared" si="332"/>
        <v>0</v>
      </c>
      <c r="AZ227" s="65">
        <f t="shared" si="332"/>
        <v>3520.145915525125</v>
      </c>
      <c r="BB227" s="64"/>
      <c r="BC227" s="66"/>
      <c r="BD227" s="66"/>
      <c r="BE227" s="66"/>
    </row>
    <row r="228" spans="1:177" s="364" customFormat="1" ht="21" customHeight="1" x14ac:dyDescent="0.2">
      <c r="B228" s="365">
        <v>4</v>
      </c>
      <c r="C228" s="376" t="s">
        <v>66</v>
      </c>
      <c r="D228" s="380">
        <v>12037</v>
      </c>
      <c r="E228" s="372" t="s">
        <v>333</v>
      </c>
      <c r="F228" s="373" t="s">
        <v>334</v>
      </c>
      <c r="G228" s="402">
        <v>44501</v>
      </c>
      <c r="H228" s="56" t="str">
        <f t="shared" si="318"/>
        <v>3 AÑOS</v>
      </c>
      <c r="I228" s="75">
        <v>6814.0770259814753</v>
      </c>
      <c r="J228" s="75"/>
      <c r="K228" s="75"/>
      <c r="L228" s="137"/>
      <c r="M228" s="290">
        <v>4.0000000000000002E-4</v>
      </c>
      <c r="N228" s="403">
        <f t="shared" si="319"/>
        <v>272.56308103925903</v>
      </c>
      <c r="O228" s="58">
        <f t="shared" si="320"/>
        <v>7086.6401070207339</v>
      </c>
      <c r="P228" s="61">
        <f t="shared" si="321"/>
        <v>14173.280214041468</v>
      </c>
      <c r="Q228" s="61">
        <f t="shared" si="322"/>
        <v>10629.9601605311</v>
      </c>
      <c r="R228" s="61">
        <f t="shared" si="323"/>
        <v>3543.320053510367</v>
      </c>
      <c r="S228" s="61">
        <f t="shared" si="324"/>
        <v>472.44267380138228</v>
      </c>
      <c r="T228" s="58">
        <f t="shared" si="325"/>
        <v>542.31694525660669</v>
      </c>
      <c r="U228" s="61">
        <f t="shared" si="326"/>
        <v>5314.98008026555</v>
      </c>
      <c r="V228" s="58">
        <f t="shared" si="327"/>
        <v>1771.6600267551835</v>
      </c>
      <c r="W228" s="62">
        <v>2.5000000000000001E-2</v>
      </c>
      <c r="X228" s="63">
        <f t="shared" si="328"/>
        <v>354.33200535103674</v>
      </c>
      <c r="Y228" s="61">
        <v>843.57892946578363</v>
      </c>
      <c r="Z228" s="61">
        <v>0</v>
      </c>
      <c r="AA228" s="61">
        <f t="shared" si="329"/>
        <v>1771.6600267551837</v>
      </c>
      <c r="AB228" s="61">
        <f t="shared" si="330"/>
        <v>354.33200535103674</v>
      </c>
      <c r="AC228" s="61">
        <v>2285.5042448006993</v>
      </c>
      <c r="AD228" s="61">
        <v>1421.4398293648289</v>
      </c>
      <c r="AE228" s="61">
        <v>840.59126514774039</v>
      </c>
      <c r="AF228" s="61">
        <v>0</v>
      </c>
      <c r="AG228" s="61">
        <f t="shared" si="331"/>
        <v>488.97816738443061</v>
      </c>
      <c r="AH228" s="64"/>
      <c r="AI228" s="64"/>
      <c r="AJ228" s="365">
        <v>4</v>
      </c>
      <c r="AK228" s="376" t="s">
        <v>66</v>
      </c>
      <c r="AL228" s="380">
        <v>12037</v>
      </c>
      <c r="AM228" s="372" t="s">
        <v>333</v>
      </c>
      <c r="AN228" s="373" t="s">
        <v>334</v>
      </c>
      <c r="AO228" s="368">
        <f>Q228*7</f>
        <v>74409.721123717696</v>
      </c>
      <c r="AP228" s="368">
        <f>R228*7</f>
        <v>24803.240374572568</v>
      </c>
      <c r="AQ228" s="368">
        <f t="shared" ref="AQ228:AZ228" si="333">X228*7</f>
        <v>2480.324037457257</v>
      </c>
      <c r="AR228" s="368">
        <f t="shared" si="333"/>
        <v>5905.0525062604856</v>
      </c>
      <c r="AS228" s="368">
        <f t="shared" si="333"/>
        <v>0</v>
      </c>
      <c r="AT228" s="368">
        <f t="shared" si="333"/>
        <v>12401.620187286286</v>
      </c>
      <c r="AU228" s="368">
        <f t="shared" si="333"/>
        <v>2480.324037457257</v>
      </c>
      <c r="AV228" s="368">
        <f t="shared" si="333"/>
        <v>15998.529713604896</v>
      </c>
      <c r="AW228" s="368">
        <f t="shared" si="333"/>
        <v>9950.0788055538032</v>
      </c>
      <c r="AX228" s="368">
        <f t="shared" si="333"/>
        <v>5884.1388560341829</v>
      </c>
      <c r="AY228" s="368">
        <f t="shared" si="333"/>
        <v>0</v>
      </c>
      <c r="AZ228" s="368">
        <f t="shared" si="333"/>
        <v>3422.8471716910144</v>
      </c>
      <c r="BB228" s="64"/>
      <c r="BC228" s="66"/>
      <c r="BD228" s="66"/>
      <c r="BE228" s="66"/>
    </row>
    <row r="229" spans="1:177" s="364" customFormat="1" ht="21" customHeight="1" x14ac:dyDescent="0.2">
      <c r="B229" s="365">
        <v>5</v>
      </c>
      <c r="C229" s="376" t="s">
        <v>66</v>
      </c>
      <c r="D229" s="365">
        <v>9119</v>
      </c>
      <c r="E229" s="372" t="s">
        <v>335</v>
      </c>
      <c r="F229" s="373" t="s">
        <v>336</v>
      </c>
      <c r="G229" s="363">
        <v>43466</v>
      </c>
      <c r="H229" s="56" t="str">
        <f t="shared" si="318"/>
        <v>5 AÑOS</v>
      </c>
      <c r="I229" s="57">
        <v>7296.3442706566093</v>
      </c>
      <c r="J229" s="57"/>
      <c r="K229" s="57"/>
      <c r="L229" s="74"/>
      <c r="M229" s="171">
        <v>4.0000000000000002E-4</v>
      </c>
      <c r="N229" s="81">
        <f t="shared" si="319"/>
        <v>291.85377082626439</v>
      </c>
      <c r="O229" s="58">
        <f t="shared" si="320"/>
        <v>7588.198041482874</v>
      </c>
      <c r="P229" s="61">
        <f t="shared" si="321"/>
        <v>15176.396082965748</v>
      </c>
      <c r="Q229" s="61">
        <f t="shared" si="322"/>
        <v>11382.297062224312</v>
      </c>
      <c r="R229" s="61">
        <f t="shared" si="323"/>
        <v>3794.099020741437</v>
      </c>
      <c r="S229" s="61">
        <f t="shared" si="324"/>
        <v>505.87986943219158</v>
      </c>
      <c r="T229" s="58">
        <f t="shared" si="325"/>
        <v>580.69950212121273</v>
      </c>
      <c r="U229" s="61">
        <f t="shared" si="326"/>
        <v>5691.148531112156</v>
      </c>
      <c r="V229" s="58">
        <f t="shared" si="327"/>
        <v>1897.0495103707185</v>
      </c>
      <c r="W229" s="62">
        <v>0</v>
      </c>
      <c r="X229" s="63">
        <f t="shared" si="328"/>
        <v>0</v>
      </c>
      <c r="Y229" s="61">
        <v>946.12432995588983</v>
      </c>
      <c r="Z229" s="61">
        <v>0</v>
      </c>
      <c r="AA229" s="61">
        <f t="shared" si="329"/>
        <v>1897.0495103707183</v>
      </c>
      <c r="AB229" s="61">
        <f t="shared" si="330"/>
        <v>379.4099020741437</v>
      </c>
      <c r="AC229" s="61">
        <v>2408.447999946839</v>
      </c>
      <c r="AD229" s="61">
        <v>1522.0424300348045</v>
      </c>
      <c r="AE229" s="61">
        <v>900.0842282878798</v>
      </c>
      <c r="AF229" s="61">
        <v>0</v>
      </c>
      <c r="AG229" s="61">
        <f t="shared" si="331"/>
        <v>523.58566486231837</v>
      </c>
      <c r="AH229" s="64"/>
      <c r="AI229" s="64"/>
      <c r="AJ229" s="365">
        <v>5</v>
      </c>
      <c r="AK229" s="376" t="s">
        <v>66</v>
      </c>
      <c r="AL229" s="365">
        <v>9119</v>
      </c>
      <c r="AM229" s="372" t="s">
        <v>335</v>
      </c>
      <c r="AN229" s="373" t="s">
        <v>336</v>
      </c>
      <c r="AO229" s="368">
        <f t="shared" ref="AO229:AP233" si="334">Q229*3</f>
        <v>34146.891186672932</v>
      </c>
      <c r="AP229" s="368">
        <f t="shared" si="334"/>
        <v>11382.297062224312</v>
      </c>
      <c r="AQ229" s="368">
        <f t="shared" ref="AQ229:AZ233" si="335">X229*3</f>
        <v>0</v>
      </c>
      <c r="AR229" s="368">
        <f t="shared" si="335"/>
        <v>2838.3729898676693</v>
      </c>
      <c r="AS229" s="368">
        <f t="shared" si="335"/>
        <v>0</v>
      </c>
      <c r="AT229" s="368">
        <f t="shared" si="335"/>
        <v>5691.1485311121551</v>
      </c>
      <c r="AU229" s="368">
        <f t="shared" si="335"/>
        <v>1138.2297062224311</v>
      </c>
      <c r="AV229" s="368">
        <f t="shared" si="335"/>
        <v>7225.3439998405174</v>
      </c>
      <c r="AW229" s="368">
        <f t="shared" si="335"/>
        <v>4566.127290104414</v>
      </c>
      <c r="AX229" s="368">
        <f t="shared" si="335"/>
        <v>2700.2526848636394</v>
      </c>
      <c r="AY229" s="368">
        <f t="shared" si="335"/>
        <v>0</v>
      </c>
      <c r="AZ229" s="368">
        <f t="shared" si="335"/>
        <v>1570.756994586955</v>
      </c>
      <c r="BB229" s="64"/>
      <c r="BC229" s="66"/>
      <c r="BD229" s="66"/>
      <c r="BE229" s="66"/>
    </row>
    <row r="230" spans="1:177" s="364" customFormat="1" ht="21" customHeight="1" x14ac:dyDescent="0.2">
      <c r="B230" s="365">
        <v>6</v>
      </c>
      <c r="C230" s="376" t="s">
        <v>66</v>
      </c>
      <c r="D230" s="365">
        <v>6141</v>
      </c>
      <c r="E230" s="371" t="s">
        <v>337</v>
      </c>
      <c r="F230" s="373" t="s">
        <v>338</v>
      </c>
      <c r="G230" s="363">
        <v>43383</v>
      </c>
      <c r="H230" s="56" t="str">
        <f t="shared" si="318"/>
        <v>6 AÑOS</v>
      </c>
      <c r="I230" s="57">
        <v>7173.5091218566131</v>
      </c>
      <c r="J230" s="58"/>
      <c r="K230" s="58"/>
      <c r="L230" s="59"/>
      <c r="M230" s="60">
        <v>4.0000000000000002E-4</v>
      </c>
      <c r="N230" s="61">
        <f t="shared" si="319"/>
        <v>286.9403648742645</v>
      </c>
      <c r="O230" s="58">
        <f t="shared" si="320"/>
        <v>7460.4494867308777</v>
      </c>
      <c r="P230" s="61">
        <f t="shared" si="321"/>
        <v>14920.898973461755</v>
      </c>
      <c r="Q230" s="61">
        <f t="shared" si="322"/>
        <v>11190.674230096316</v>
      </c>
      <c r="R230" s="61">
        <f t="shared" si="323"/>
        <v>3730.2247433654388</v>
      </c>
      <c r="S230" s="61">
        <f t="shared" si="324"/>
        <v>497.36329911539184</v>
      </c>
      <c r="T230" s="58">
        <f t="shared" si="325"/>
        <v>570.92333105455828</v>
      </c>
      <c r="U230" s="61">
        <f t="shared" si="326"/>
        <v>5595.337115048158</v>
      </c>
      <c r="V230" s="58">
        <f t="shared" si="327"/>
        <v>1865.1123716827194</v>
      </c>
      <c r="W230" s="62">
        <v>0</v>
      </c>
      <c r="X230" s="63">
        <f t="shared" si="328"/>
        <v>0</v>
      </c>
      <c r="Y230" s="61">
        <v>915.46467681541048</v>
      </c>
      <c r="Z230" s="61">
        <v>0</v>
      </c>
      <c r="AA230" s="61">
        <f t="shared" si="329"/>
        <v>1865.1123716827194</v>
      </c>
      <c r="AB230" s="61">
        <f t="shared" si="330"/>
        <v>373.02247433654389</v>
      </c>
      <c r="AC230" s="61">
        <v>2377.1337968278203</v>
      </c>
      <c r="AD230" s="61">
        <v>1496.4185968605502</v>
      </c>
      <c r="AE230" s="61">
        <v>884.9311631345654</v>
      </c>
      <c r="AF230" s="61">
        <v>0</v>
      </c>
      <c r="AG230" s="61">
        <f t="shared" si="331"/>
        <v>514.77101458443053</v>
      </c>
      <c r="AH230" s="64"/>
      <c r="AI230" s="64"/>
      <c r="AJ230" s="365">
        <v>6</v>
      </c>
      <c r="AK230" s="376" t="s">
        <v>66</v>
      </c>
      <c r="AL230" s="365">
        <v>6141</v>
      </c>
      <c r="AM230" s="371" t="s">
        <v>337</v>
      </c>
      <c r="AN230" s="373" t="s">
        <v>338</v>
      </c>
      <c r="AO230" s="368">
        <f t="shared" si="334"/>
        <v>33572.022690288948</v>
      </c>
      <c r="AP230" s="368">
        <f t="shared" si="334"/>
        <v>11190.674230096316</v>
      </c>
      <c r="AQ230" s="368">
        <f t="shared" si="335"/>
        <v>0</v>
      </c>
      <c r="AR230" s="368">
        <f t="shared" si="335"/>
        <v>2746.3940304462312</v>
      </c>
      <c r="AS230" s="368">
        <f t="shared" si="335"/>
        <v>0</v>
      </c>
      <c r="AT230" s="368">
        <f t="shared" si="335"/>
        <v>5595.337115048158</v>
      </c>
      <c r="AU230" s="368">
        <f t="shared" si="335"/>
        <v>1119.0674230096317</v>
      </c>
      <c r="AV230" s="368">
        <f t="shared" si="335"/>
        <v>7131.401390483461</v>
      </c>
      <c r="AW230" s="368">
        <f t="shared" si="335"/>
        <v>4489.2557905816502</v>
      </c>
      <c r="AX230" s="368">
        <f t="shared" si="335"/>
        <v>2654.7934894036962</v>
      </c>
      <c r="AY230" s="368">
        <f t="shared" si="335"/>
        <v>0</v>
      </c>
      <c r="AZ230" s="368">
        <f t="shared" si="335"/>
        <v>1544.3130437532916</v>
      </c>
      <c r="BB230" s="64"/>
      <c r="BC230" s="66"/>
      <c r="BD230" s="66"/>
      <c r="BE230" s="66"/>
    </row>
    <row r="231" spans="1:177" s="364" customFormat="1" ht="21" customHeight="1" x14ac:dyDescent="0.2">
      <c r="B231" s="365">
        <v>7</v>
      </c>
      <c r="C231" s="376" t="s">
        <v>66</v>
      </c>
      <c r="D231" s="365">
        <v>6168</v>
      </c>
      <c r="E231" s="372" t="s">
        <v>339</v>
      </c>
      <c r="F231" s="378" t="s">
        <v>135</v>
      </c>
      <c r="G231" s="363">
        <v>45459</v>
      </c>
      <c r="H231" s="56" t="str">
        <f t="shared" si="318"/>
        <v>0 AÑOS</v>
      </c>
      <c r="I231" s="57">
        <v>6473.7189041991969</v>
      </c>
      <c r="J231" s="58"/>
      <c r="K231" s="58"/>
      <c r="L231" s="59"/>
      <c r="M231" s="60">
        <v>4.0000000000000002E-4</v>
      </c>
      <c r="N231" s="61">
        <f t="shared" si="319"/>
        <v>258.94875616796787</v>
      </c>
      <c r="O231" s="58">
        <f t="shared" si="320"/>
        <v>6732.6676603671649</v>
      </c>
      <c r="P231" s="61">
        <f t="shared" si="321"/>
        <v>13465.33532073433</v>
      </c>
      <c r="Q231" s="61">
        <f t="shared" si="322"/>
        <v>10099.001490550747</v>
      </c>
      <c r="R231" s="61">
        <f t="shared" si="323"/>
        <v>3366.3338301835824</v>
      </c>
      <c r="S231" s="61">
        <f t="shared" si="324"/>
        <v>448.84451069114431</v>
      </c>
      <c r="T231" s="58">
        <f t="shared" si="325"/>
        <v>515.22861382236454</v>
      </c>
      <c r="U231" s="61">
        <f t="shared" si="326"/>
        <v>5049.5007452753734</v>
      </c>
      <c r="V231" s="58">
        <f t="shared" si="327"/>
        <v>1683.1669150917912</v>
      </c>
      <c r="W231" s="62">
        <v>0</v>
      </c>
      <c r="X231" s="63">
        <f t="shared" si="328"/>
        <v>0</v>
      </c>
      <c r="Y231" s="61">
        <v>785.81062617192117</v>
      </c>
      <c r="Z231" s="61">
        <v>0</v>
      </c>
      <c r="AA231" s="61">
        <f t="shared" si="329"/>
        <v>1683.1669150917912</v>
      </c>
      <c r="AB231" s="61">
        <f t="shared" si="330"/>
        <v>336.63338301835824</v>
      </c>
      <c r="AC231" s="61">
        <v>2198.7371959322072</v>
      </c>
      <c r="AD231" s="61">
        <v>1350.4399582591086</v>
      </c>
      <c r="AE231" s="61">
        <v>798.60435142466508</v>
      </c>
      <c r="AF231" s="61">
        <v>0</v>
      </c>
      <c r="AG231" s="61">
        <f t="shared" si="331"/>
        <v>464.55406856533432</v>
      </c>
      <c r="AH231" s="64"/>
      <c r="AI231" s="64"/>
      <c r="AJ231" s="365">
        <v>7</v>
      </c>
      <c r="AK231" s="376" t="s">
        <v>66</v>
      </c>
      <c r="AL231" s="365">
        <v>6168</v>
      </c>
      <c r="AM231" s="372" t="s">
        <v>339</v>
      </c>
      <c r="AN231" s="378" t="s">
        <v>135</v>
      </c>
      <c r="AO231" s="368">
        <f t="shared" si="334"/>
        <v>30297.004471652239</v>
      </c>
      <c r="AP231" s="368">
        <f t="shared" si="334"/>
        <v>10099.001490550747</v>
      </c>
      <c r="AQ231" s="368">
        <f t="shared" si="335"/>
        <v>0</v>
      </c>
      <c r="AR231" s="368">
        <f t="shared" si="335"/>
        <v>2357.4318785157634</v>
      </c>
      <c r="AS231" s="368">
        <f t="shared" si="335"/>
        <v>0</v>
      </c>
      <c r="AT231" s="368">
        <f t="shared" si="335"/>
        <v>5049.5007452753734</v>
      </c>
      <c r="AU231" s="368">
        <f t="shared" si="335"/>
        <v>1009.9001490550747</v>
      </c>
      <c r="AV231" s="368">
        <f t="shared" si="335"/>
        <v>6596.2115877966216</v>
      </c>
      <c r="AW231" s="368">
        <f t="shared" si="335"/>
        <v>4051.3198747773258</v>
      </c>
      <c r="AX231" s="368">
        <f t="shared" si="335"/>
        <v>2395.8130542739955</v>
      </c>
      <c r="AY231" s="368">
        <f t="shared" si="335"/>
        <v>0</v>
      </c>
      <c r="AZ231" s="368">
        <f t="shared" si="335"/>
        <v>1393.662205696003</v>
      </c>
      <c r="BB231" s="64"/>
      <c r="BC231" s="66"/>
      <c r="BD231" s="66"/>
      <c r="BE231" s="66"/>
    </row>
    <row r="232" spans="1:177" s="364" customFormat="1" ht="21" customHeight="1" x14ac:dyDescent="0.2">
      <c r="B232" s="365">
        <v>8</v>
      </c>
      <c r="C232" s="372" t="s">
        <v>66</v>
      </c>
      <c r="D232" s="365">
        <v>9092</v>
      </c>
      <c r="E232" s="371" t="s">
        <v>340</v>
      </c>
      <c r="F232" s="373" t="s">
        <v>341</v>
      </c>
      <c r="G232" s="363">
        <v>42436</v>
      </c>
      <c r="H232" s="56" t="str">
        <f xml:space="preserve"> CONCATENATE(DATEDIF(G232,H$5,"Y")," AÑOS")</f>
        <v>8 AÑOS</v>
      </c>
      <c r="I232" s="57">
        <v>8095.8592323971789</v>
      </c>
      <c r="J232" s="58"/>
      <c r="K232" s="58"/>
      <c r="L232" s="59"/>
      <c r="M232" s="60">
        <v>4.0000000000000002E-4</v>
      </c>
      <c r="N232" s="61">
        <f>I232*0.04</f>
        <v>323.83436929588714</v>
      </c>
      <c r="O232" s="58">
        <f>I232+N232</f>
        <v>8419.6936016930667</v>
      </c>
      <c r="P232" s="61">
        <f>O232*2</f>
        <v>16839.387203386133</v>
      </c>
      <c r="Q232" s="61">
        <f>P232*0.75</f>
        <v>12629.5404025396</v>
      </c>
      <c r="R232" s="61">
        <f>P232*0.25</f>
        <v>4209.8468008465334</v>
      </c>
      <c r="S232" s="61">
        <f>(P232/30)</f>
        <v>561.3129067795378</v>
      </c>
      <c r="T232" s="58">
        <f>S232*1.1479</f>
        <v>644.33108569223134</v>
      </c>
      <c r="U232" s="61">
        <f>O232*0.75</f>
        <v>6314.7702012698001</v>
      </c>
      <c r="V232" s="58">
        <f>O232*0.25</f>
        <v>2104.9234004232667</v>
      </c>
      <c r="W232" s="101">
        <v>7.4999999999999997E-2</v>
      </c>
      <c r="X232" s="63">
        <f>P232*W232</f>
        <v>1262.9540402539599</v>
      </c>
      <c r="Y232" s="61">
        <v>1145.6832644063361</v>
      </c>
      <c r="Z232" s="61">
        <v>0</v>
      </c>
      <c r="AA232" s="61">
        <f>(S232*45)/12</f>
        <v>2104.9234004232667</v>
      </c>
      <c r="AB232" s="61">
        <f>(S232*10)*(0.45*2)/12</f>
        <v>420.98468008465335</v>
      </c>
      <c r="AC232" s="61">
        <v>2612.2672988463974</v>
      </c>
      <c r="AD232" s="61">
        <v>1688.8239921536231</v>
      </c>
      <c r="AE232" s="61">
        <v>998.71318282295852</v>
      </c>
      <c r="AF232" s="61">
        <v>0</v>
      </c>
      <c r="AG232" s="61">
        <f>(P232+AA232+AB232)*0.03</f>
        <v>580.95885851682158</v>
      </c>
      <c r="AH232" s="64"/>
      <c r="AI232" s="64"/>
      <c r="AJ232" s="365">
        <v>8</v>
      </c>
      <c r="AK232" s="372" t="s">
        <v>66</v>
      </c>
      <c r="AL232" s="365">
        <v>9092</v>
      </c>
      <c r="AM232" s="371" t="s">
        <v>340</v>
      </c>
      <c r="AN232" s="373" t="s">
        <v>341</v>
      </c>
      <c r="AO232" s="368">
        <f t="shared" si="334"/>
        <v>37888.621207618802</v>
      </c>
      <c r="AP232" s="368">
        <f t="shared" si="334"/>
        <v>12629.5404025396</v>
      </c>
      <c r="AQ232" s="368">
        <f t="shared" si="335"/>
        <v>3788.8621207618799</v>
      </c>
      <c r="AR232" s="368">
        <f t="shared" si="335"/>
        <v>3437.0497932190083</v>
      </c>
      <c r="AS232" s="368">
        <f t="shared" si="335"/>
        <v>0</v>
      </c>
      <c r="AT232" s="368">
        <f t="shared" si="335"/>
        <v>6314.7702012698001</v>
      </c>
      <c r="AU232" s="368">
        <f t="shared" si="335"/>
        <v>1262.9540402539601</v>
      </c>
      <c r="AV232" s="368">
        <f t="shared" si="335"/>
        <v>7836.8018965391921</v>
      </c>
      <c r="AW232" s="368">
        <f t="shared" si="335"/>
        <v>5066.471976460869</v>
      </c>
      <c r="AX232" s="368">
        <f t="shared" si="335"/>
        <v>2996.1395484688755</v>
      </c>
      <c r="AY232" s="368">
        <f t="shared" si="335"/>
        <v>0</v>
      </c>
      <c r="AZ232" s="368">
        <f t="shared" si="335"/>
        <v>1742.8765755504646</v>
      </c>
      <c r="BB232" s="64"/>
      <c r="BC232" s="66"/>
      <c r="BD232" s="66"/>
      <c r="BE232" s="66"/>
    </row>
    <row r="233" spans="1:177" s="364" customFormat="1" ht="21" customHeight="1" x14ac:dyDescent="0.2">
      <c r="B233" s="365">
        <v>9</v>
      </c>
      <c r="C233" s="372" t="s">
        <v>66</v>
      </c>
      <c r="D233" s="377">
        <v>9116</v>
      </c>
      <c r="E233" s="371" t="s">
        <v>342</v>
      </c>
      <c r="F233" s="373" t="s">
        <v>343</v>
      </c>
      <c r="G233" s="384">
        <v>43466</v>
      </c>
      <c r="H233" s="56" t="str">
        <f xml:space="preserve"> CONCATENATE(DATEDIF(G233,H$5,"Y")," AÑOS")</f>
        <v>5 AÑOS</v>
      </c>
      <c r="I233" s="57">
        <v>7173.5091218566131</v>
      </c>
      <c r="J233" s="58"/>
      <c r="K233" s="108"/>
      <c r="L233" s="173"/>
      <c r="M233" s="60">
        <v>4.0000000000000002E-4</v>
      </c>
      <c r="N233" s="61">
        <f>I233*0.04</f>
        <v>286.9403648742645</v>
      </c>
      <c r="O233" s="58">
        <f>I233+N233</f>
        <v>7460.4494867308777</v>
      </c>
      <c r="P233" s="61">
        <f>O233*2</f>
        <v>14920.898973461755</v>
      </c>
      <c r="Q233" s="61">
        <f>P233*0.75</f>
        <v>11190.674230096316</v>
      </c>
      <c r="R233" s="61">
        <f>P233*0.25</f>
        <v>3730.2247433654388</v>
      </c>
      <c r="S233" s="61">
        <f>(P233/30)</f>
        <v>497.36329911539184</v>
      </c>
      <c r="T233" s="58">
        <f>S233*1.1479</f>
        <v>570.92333105455828</v>
      </c>
      <c r="U233" s="61">
        <f>O233*0.75</f>
        <v>5595.337115048158</v>
      </c>
      <c r="V233" s="58">
        <f>O233*0.25</f>
        <v>1865.1123716827194</v>
      </c>
      <c r="W233" s="101">
        <v>0</v>
      </c>
      <c r="X233" s="63">
        <f>P233*W233</f>
        <v>0</v>
      </c>
      <c r="Y233" s="61">
        <v>915.46467681541048</v>
      </c>
      <c r="Z233" s="61">
        <v>0</v>
      </c>
      <c r="AA233" s="61">
        <f>(S233*45)/12</f>
        <v>1865.1123716827194</v>
      </c>
      <c r="AB233" s="61">
        <f>(S233*10)*(0.45*2)/12</f>
        <v>373.02247433654389</v>
      </c>
      <c r="AC233" s="61">
        <v>2377.1337968278203</v>
      </c>
      <c r="AD233" s="61">
        <v>1496.4185968605502</v>
      </c>
      <c r="AE233" s="61">
        <v>884.9311631345654</v>
      </c>
      <c r="AF233" s="61">
        <v>0</v>
      </c>
      <c r="AG233" s="61">
        <f>(P233+AA233+AB233)*0.03</f>
        <v>514.77101458443053</v>
      </c>
      <c r="AH233" s="64"/>
      <c r="AI233" s="64"/>
      <c r="AJ233" s="365">
        <v>9</v>
      </c>
      <c r="AK233" s="372" t="s">
        <v>66</v>
      </c>
      <c r="AL233" s="377">
        <v>9116</v>
      </c>
      <c r="AM233" s="371" t="s">
        <v>342</v>
      </c>
      <c r="AN233" s="373" t="s">
        <v>343</v>
      </c>
      <c r="AO233" s="368">
        <f t="shared" si="334"/>
        <v>33572.022690288948</v>
      </c>
      <c r="AP233" s="368">
        <f t="shared" si="334"/>
        <v>11190.674230096316</v>
      </c>
      <c r="AQ233" s="368">
        <f t="shared" si="335"/>
        <v>0</v>
      </c>
      <c r="AR233" s="368">
        <f t="shared" si="335"/>
        <v>2746.3940304462312</v>
      </c>
      <c r="AS233" s="368">
        <f t="shared" si="335"/>
        <v>0</v>
      </c>
      <c r="AT233" s="368">
        <f t="shared" si="335"/>
        <v>5595.337115048158</v>
      </c>
      <c r="AU233" s="368">
        <f t="shared" si="335"/>
        <v>1119.0674230096317</v>
      </c>
      <c r="AV233" s="368">
        <f t="shared" si="335"/>
        <v>7131.401390483461</v>
      </c>
      <c r="AW233" s="368">
        <f t="shared" si="335"/>
        <v>4489.2557905816502</v>
      </c>
      <c r="AX233" s="368">
        <f t="shared" si="335"/>
        <v>2654.7934894036962</v>
      </c>
      <c r="AY233" s="368">
        <f t="shared" si="335"/>
        <v>0</v>
      </c>
      <c r="AZ233" s="368">
        <f t="shared" si="335"/>
        <v>1544.3130437532916</v>
      </c>
      <c r="BB233" s="64"/>
      <c r="BC233" s="66"/>
      <c r="BD233" s="66"/>
      <c r="BE233" s="66"/>
    </row>
    <row r="234" spans="1:177" s="364" customFormat="1" ht="21" customHeight="1" x14ac:dyDescent="0.2">
      <c r="B234" s="365">
        <v>10</v>
      </c>
      <c r="C234" s="376" t="s">
        <v>66</v>
      </c>
      <c r="D234" s="365">
        <v>6077</v>
      </c>
      <c r="E234" s="371" t="s">
        <v>344</v>
      </c>
      <c r="F234" s="371" t="s">
        <v>345</v>
      </c>
      <c r="G234" s="55">
        <v>39737</v>
      </c>
      <c r="H234" s="56" t="str">
        <f t="shared" si="318"/>
        <v>16 AÑOS</v>
      </c>
      <c r="I234" s="57">
        <v>6742.2083706180401</v>
      </c>
      <c r="J234" s="58"/>
      <c r="K234" s="57"/>
      <c r="L234" s="59"/>
      <c r="M234" s="60">
        <v>4.0000000000000002E-4</v>
      </c>
      <c r="N234" s="61">
        <f t="shared" si="319"/>
        <v>269.68833482472161</v>
      </c>
      <c r="O234" s="58">
        <f t="shared" si="320"/>
        <v>7011.8967054427621</v>
      </c>
      <c r="P234" s="61">
        <f t="shared" si="321"/>
        <v>14023.793410885524</v>
      </c>
      <c r="Q234" s="61">
        <f t="shared" si="322"/>
        <v>10517.845058164143</v>
      </c>
      <c r="R234" s="61">
        <f t="shared" si="323"/>
        <v>3505.9483527213811</v>
      </c>
      <c r="S234" s="61">
        <f t="shared" si="324"/>
        <v>467.45978036285084</v>
      </c>
      <c r="T234" s="58">
        <f t="shared" si="325"/>
        <v>536.59708187851641</v>
      </c>
      <c r="U234" s="61">
        <f t="shared" si="326"/>
        <v>5258.9225290820714</v>
      </c>
      <c r="V234" s="58">
        <f t="shared" si="327"/>
        <v>1752.9741763606905</v>
      </c>
      <c r="W234" s="62">
        <v>7.4999999999999997E-2</v>
      </c>
      <c r="X234" s="63">
        <f t="shared" si="328"/>
        <v>1051.7845058164144</v>
      </c>
      <c r="Y234" s="61">
        <v>831.38080632825859</v>
      </c>
      <c r="Z234" s="61">
        <v>0</v>
      </c>
      <c r="AA234" s="61">
        <f t="shared" si="329"/>
        <v>1752.9741763606908</v>
      </c>
      <c r="AB234" s="61">
        <f t="shared" si="330"/>
        <v>350.5948352721382</v>
      </c>
      <c r="AC234" s="61">
        <v>2267.1828629004285</v>
      </c>
      <c r="AD234" s="61">
        <v>1406.4477814576853</v>
      </c>
      <c r="AE234" s="61">
        <v>831.72547691170041</v>
      </c>
      <c r="AF234" s="61">
        <v>0</v>
      </c>
      <c r="AG234" s="61">
        <f t="shared" si="331"/>
        <v>483.82087267555062</v>
      </c>
      <c r="AH234" s="64"/>
      <c r="AI234" s="64"/>
      <c r="AJ234" s="365">
        <v>10</v>
      </c>
      <c r="AK234" s="376" t="s">
        <v>66</v>
      </c>
      <c r="AL234" s="365">
        <v>6077</v>
      </c>
      <c r="AM234" s="371" t="s">
        <v>344</v>
      </c>
      <c r="AN234" s="371" t="s">
        <v>345</v>
      </c>
      <c r="AO234" s="368">
        <f t="shared" ref="AO234:AP241" si="336">Q234*12</f>
        <v>126214.14069796971</v>
      </c>
      <c r="AP234" s="368">
        <f t="shared" si="336"/>
        <v>42071.380232656571</v>
      </c>
      <c r="AQ234" s="368">
        <f t="shared" ref="AQ234:AZ241" si="337">X234*12</f>
        <v>12621.414069796972</v>
      </c>
      <c r="AR234" s="368">
        <f t="shared" si="337"/>
        <v>9976.569675939103</v>
      </c>
      <c r="AS234" s="368">
        <f t="shared" si="337"/>
        <v>0</v>
      </c>
      <c r="AT234" s="368">
        <f t="shared" si="337"/>
        <v>21035.690116328289</v>
      </c>
      <c r="AU234" s="368">
        <f t="shared" si="337"/>
        <v>4207.1380232656584</v>
      </c>
      <c r="AV234" s="368">
        <f t="shared" si="337"/>
        <v>27206.194354805142</v>
      </c>
      <c r="AW234" s="368">
        <f t="shared" si="337"/>
        <v>16877.373377492222</v>
      </c>
      <c r="AX234" s="368">
        <f t="shared" si="337"/>
        <v>9980.7057229404054</v>
      </c>
      <c r="AY234" s="368">
        <f t="shared" si="337"/>
        <v>0</v>
      </c>
      <c r="AZ234" s="368">
        <f t="shared" si="337"/>
        <v>5805.8504721066074</v>
      </c>
      <c r="BB234" s="64"/>
      <c r="BC234" s="66"/>
      <c r="BD234" s="66"/>
      <c r="BE234" s="66"/>
    </row>
    <row r="235" spans="1:177" s="102" customFormat="1" ht="21" customHeight="1" x14ac:dyDescent="0.2">
      <c r="A235" s="50"/>
      <c r="B235" s="67">
        <v>11</v>
      </c>
      <c r="C235" s="77" t="s">
        <v>66</v>
      </c>
      <c r="D235" s="67">
        <v>5003</v>
      </c>
      <c r="E235" s="72" t="s">
        <v>346</v>
      </c>
      <c r="F235" s="72" t="s">
        <v>345</v>
      </c>
      <c r="G235" s="55">
        <v>35856</v>
      </c>
      <c r="H235" s="56" t="str">
        <f t="shared" si="318"/>
        <v>26 AÑOS</v>
      </c>
      <c r="I235" s="57">
        <v>6133.1838249717375</v>
      </c>
      <c r="J235" s="58"/>
      <c r="K235" s="58"/>
      <c r="L235" s="59"/>
      <c r="M235" s="60">
        <v>4.0000000000000002E-4</v>
      </c>
      <c r="N235" s="61">
        <f t="shared" si="319"/>
        <v>245.32735299886951</v>
      </c>
      <c r="O235" s="58">
        <f t="shared" si="320"/>
        <v>6378.5111779706067</v>
      </c>
      <c r="P235" s="61">
        <f t="shared" si="321"/>
        <v>12757.022355941213</v>
      </c>
      <c r="Q235" s="61">
        <f t="shared" si="322"/>
        <v>9567.7667669559105</v>
      </c>
      <c r="R235" s="61">
        <f t="shared" si="323"/>
        <v>3189.2555889853033</v>
      </c>
      <c r="S235" s="61">
        <f t="shared" si="324"/>
        <v>425.23407853137377</v>
      </c>
      <c r="T235" s="58">
        <f t="shared" si="325"/>
        <v>488.12619874616394</v>
      </c>
      <c r="U235" s="61">
        <f t="shared" si="326"/>
        <v>4783.8833834779552</v>
      </c>
      <c r="V235" s="58">
        <f t="shared" si="327"/>
        <v>1594.6277944926517</v>
      </c>
      <c r="W235" s="62">
        <v>7.4999999999999997E-2</v>
      </c>
      <c r="X235" s="63">
        <f t="shared" si="328"/>
        <v>956.77667669559094</v>
      </c>
      <c r="Y235" s="61">
        <v>728.01228824480302</v>
      </c>
      <c r="Z235" s="61">
        <v>0</v>
      </c>
      <c r="AA235" s="61">
        <f t="shared" si="329"/>
        <v>1594.6277944926517</v>
      </c>
      <c r="AB235" s="61">
        <f t="shared" si="330"/>
        <v>318.92555889853037</v>
      </c>
      <c r="AC235" s="61">
        <v>2111.9250355346785</v>
      </c>
      <c r="AD235" s="61">
        <v>1279.4031732236331</v>
      </c>
      <c r="AE235" s="61">
        <v>756.59560805655417</v>
      </c>
      <c r="AF235" s="61">
        <v>0</v>
      </c>
      <c r="AG235" s="61">
        <f t="shared" si="331"/>
        <v>440.11727127997187</v>
      </c>
      <c r="AH235" s="64"/>
      <c r="AI235" s="64"/>
      <c r="AJ235" s="67">
        <v>11</v>
      </c>
      <c r="AK235" s="77" t="s">
        <v>66</v>
      </c>
      <c r="AL235" s="67">
        <v>5003</v>
      </c>
      <c r="AM235" s="72" t="s">
        <v>346</v>
      </c>
      <c r="AN235" s="72" t="s">
        <v>345</v>
      </c>
      <c r="AO235" s="65">
        <f t="shared" si="336"/>
        <v>114813.20120347093</v>
      </c>
      <c r="AP235" s="65">
        <f t="shared" si="336"/>
        <v>38271.067067823642</v>
      </c>
      <c r="AQ235" s="65">
        <f t="shared" si="337"/>
        <v>11481.320120347091</v>
      </c>
      <c r="AR235" s="65">
        <f t="shared" si="337"/>
        <v>8736.1474589376357</v>
      </c>
      <c r="AS235" s="65">
        <f t="shared" si="337"/>
        <v>0</v>
      </c>
      <c r="AT235" s="65">
        <f t="shared" si="337"/>
        <v>19135.533533911821</v>
      </c>
      <c r="AU235" s="65">
        <f t="shared" si="337"/>
        <v>3827.1067067823642</v>
      </c>
      <c r="AV235" s="65">
        <f t="shared" si="337"/>
        <v>25343.100426416142</v>
      </c>
      <c r="AW235" s="65">
        <f t="shared" si="337"/>
        <v>15352.838078683597</v>
      </c>
      <c r="AX235" s="65">
        <f t="shared" si="337"/>
        <v>9079.1472966786496</v>
      </c>
      <c r="AY235" s="65">
        <f t="shared" si="337"/>
        <v>0</v>
      </c>
      <c r="AZ235" s="65">
        <f t="shared" si="337"/>
        <v>5281.4072553596625</v>
      </c>
      <c r="BA235" s="50"/>
      <c r="BB235" s="64"/>
      <c r="BC235" s="66"/>
      <c r="BD235" s="66"/>
      <c r="BE235" s="66"/>
      <c r="BF235" s="50"/>
      <c r="BG235" s="50"/>
      <c r="BH235" s="50"/>
      <c r="BI235" s="50"/>
      <c r="BJ235" s="50"/>
      <c r="BK235" s="50"/>
      <c r="BL235" s="50"/>
      <c r="BM235" s="50"/>
      <c r="BN235" s="50"/>
      <c r="BO235" s="50"/>
      <c r="BP235" s="50"/>
      <c r="BQ235" s="50"/>
      <c r="BR235" s="50"/>
      <c r="BS235" s="50"/>
      <c r="BT235" s="50"/>
      <c r="BU235" s="50"/>
      <c r="BV235" s="50"/>
      <c r="BW235" s="50"/>
      <c r="BX235" s="50"/>
      <c r="BY235" s="50"/>
      <c r="BZ235" s="50"/>
      <c r="CA235" s="50"/>
      <c r="CB235" s="50"/>
      <c r="CC235" s="50"/>
      <c r="CD235" s="50"/>
      <c r="CE235" s="50"/>
      <c r="CF235" s="50"/>
      <c r="CG235" s="50"/>
      <c r="CH235" s="50"/>
      <c r="CI235" s="50"/>
      <c r="CJ235" s="50"/>
      <c r="CK235" s="50"/>
      <c r="CL235" s="50"/>
      <c r="CM235" s="50"/>
      <c r="CN235" s="50"/>
      <c r="CO235" s="50"/>
      <c r="CP235" s="50"/>
      <c r="CQ235" s="50"/>
      <c r="CR235" s="50"/>
      <c r="CS235" s="50"/>
      <c r="CT235" s="50"/>
      <c r="CU235" s="50"/>
      <c r="CV235" s="50"/>
      <c r="CW235" s="50"/>
      <c r="CX235" s="50"/>
      <c r="CY235" s="50"/>
      <c r="CZ235" s="50"/>
      <c r="DA235" s="50"/>
      <c r="DB235" s="50"/>
      <c r="DC235" s="50"/>
      <c r="DD235" s="50"/>
      <c r="DE235" s="50"/>
      <c r="DF235" s="50"/>
      <c r="DG235" s="50"/>
      <c r="DH235" s="50"/>
      <c r="DI235" s="50"/>
      <c r="DJ235" s="50"/>
      <c r="DK235" s="50"/>
      <c r="DL235" s="50"/>
      <c r="DM235" s="50"/>
      <c r="DN235" s="50"/>
      <c r="DO235" s="50"/>
      <c r="DP235" s="50"/>
      <c r="DQ235" s="50"/>
      <c r="DR235" s="50"/>
      <c r="DS235" s="50"/>
      <c r="DT235" s="50"/>
      <c r="DU235" s="50"/>
      <c r="DV235" s="50"/>
      <c r="DW235" s="50"/>
      <c r="DX235" s="50"/>
      <c r="DY235" s="50"/>
      <c r="DZ235" s="50"/>
      <c r="EA235" s="50"/>
      <c r="EB235" s="50"/>
      <c r="EC235" s="50"/>
      <c r="ED235" s="50"/>
      <c r="EE235" s="50"/>
      <c r="EF235" s="50"/>
      <c r="EG235" s="50"/>
      <c r="EH235" s="50"/>
      <c r="EI235" s="50"/>
      <c r="EJ235" s="50"/>
      <c r="EK235" s="50"/>
      <c r="EL235" s="50"/>
      <c r="EM235" s="50"/>
      <c r="EN235" s="50"/>
      <c r="EO235" s="50"/>
      <c r="EP235" s="50"/>
      <c r="EQ235" s="50"/>
      <c r="ER235" s="50"/>
      <c r="ES235" s="50"/>
      <c r="ET235" s="50"/>
      <c r="EU235" s="50"/>
      <c r="EV235" s="50"/>
      <c r="EW235" s="50"/>
      <c r="EX235" s="50"/>
      <c r="EY235" s="50"/>
      <c r="EZ235" s="50"/>
      <c r="FA235" s="50"/>
      <c r="FB235" s="50"/>
      <c r="FC235" s="50"/>
      <c r="FD235" s="50"/>
      <c r="FE235" s="50"/>
      <c r="FF235" s="50"/>
      <c r="FG235" s="50"/>
      <c r="FH235" s="50"/>
      <c r="FI235" s="50"/>
      <c r="FJ235" s="50"/>
      <c r="FK235" s="50"/>
      <c r="FL235" s="50"/>
      <c r="FM235" s="50"/>
      <c r="FN235" s="50"/>
      <c r="FO235" s="50"/>
      <c r="FP235" s="50"/>
      <c r="FQ235" s="50"/>
      <c r="FR235" s="50"/>
      <c r="FS235" s="50"/>
      <c r="FT235" s="50"/>
      <c r="FU235" s="50"/>
    </row>
    <row r="236" spans="1:177" ht="21" customHeight="1" x14ac:dyDescent="0.2">
      <c r="B236" s="67">
        <v>12</v>
      </c>
      <c r="C236" s="73" t="s">
        <v>66</v>
      </c>
      <c r="D236" s="67">
        <v>9076</v>
      </c>
      <c r="E236" s="72" t="s">
        <v>347</v>
      </c>
      <c r="F236" s="72" t="s">
        <v>348</v>
      </c>
      <c r="G236" s="123">
        <v>41226</v>
      </c>
      <c r="H236" s="56" t="str">
        <f t="shared" si="318"/>
        <v>12 AÑOS</v>
      </c>
      <c r="I236" s="57">
        <v>6063.7985650654873</v>
      </c>
      <c r="J236" s="58"/>
      <c r="K236" s="58"/>
      <c r="L236" s="59"/>
      <c r="M236" s="60">
        <v>4.0000000000000002E-4</v>
      </c>
      <c r="N236" s="61">
        <f t="shared" si="319"/>
        <v>242.5519426026195</v>
      </c>
      <c r="O236" s="58">
        <f t="shared" si="320"/>
        <v>6306.3505076681067</v>
      </c>
      <c r="P236" s="61">
        <f t="shared" si="321"/>
        <v>12612.701015336213</v>
      </c>
      <c r="Q236" s="61">
        <f t="shared" si="322"/>
        <v>9459.5257615021601</v>
      </c>
      <c r="R236" s="61">
        <f t="shared" si="323"/>
        <v>3153.1752538340534</v>
      </c>
      <c r="S236" s="61">
        <f t="shared" si="324"/>
        <v>420.42336717787379</v>
      </c>
      <c r="T236" s="58">
        <f t="shared" si="325"/>
        <v>482.60398318348126</v>
      </c>
      <c r="U236" s="61">
        <f t="shared" si="326"/>
        <v>4729.76288075108</v>
      </c>
      <c r="V236" s="58">
        <f t="shared" si="327"/>
        <v>1576.5876269170267</v>
      </c>
      <c r="W236" s="101">
        <v>0.05</v>
      </c>
      <c r="X236" s="63">
        <f t="shared" si="328"/>
        <v>630.63505076681076</v>
      </c>
      <c r="Y236" s="61">
        <v>716.23566685143487</v>
      </c>
      <c r="Z236" s="61">
        <v>0</v>
      </c>
      <c r="AA236" s="61">
        <f t="shared" si="329"/>
        <v>1576.5876269170267</v>
      </c>
      <c r="AB236" s="61">
        <f t="shared" si="330"/>
        <v>315.31752538340533</v>
      </c>
      <c r="AC236" s="61">
        <v>2094.2367423759515</v>
      </c>
      <c r="AD236" s="61">
        <v>1264.9291701230636</v>
      </c>
      <c r="AE236" s="61">
        <v>748.03617393439606</v>
      </c>
      <c r="AF236" s="61">
        <v>0</v>
      </c>
      <c r="AG236" s="61">
        <f t="shared" si="331"/>
        <v>435.1381850290993</v>
      </c>
      <c r="AH236" s="64"/>
      <c r="AI236" s="64"/>
      <c r="AJ236" s="67">
        <v>12</v>
      </c>
      <c r="AK236" s="73" t="s">
        <v>66</v>
      </c>
      <c r="AL236" s="67">
        <v>9076</v>
      </c>
      <c r="AM236" s="72" t="s">
        <v>347</v>
      </c>
      <c r="AN236" s="72" t="s">
        <v>348</v>
      </c>
      <c r="AO236" s="138">
        <f t="shared" si="336"/>
        <v>113514.30913802591</v>
      </c>
      <c r="AP236" s="65">
        <f t="shared" si="336"/>
        <v>37838.10304600864</v>
      </c>
      <c r="AQ236" s="65">
        <f t="shared" si="337"/>
        <v>7567.6206092017292</v>
      </c>
      <c r="AR236" s="65">
        <f t="shared" si="337"/>
        <v>8594.8280022172185</v>
      </c>
      <c r="AS236" s="65">
        <f t="shared" si="337"/>
        <v>0</v>
      </c>
      <c r="AT236" s="65">
        <f t="shared" si="337"/>
        <v>18919.05152300432</v>
      </c>
      <c r="AU236" s="65">
        <f t="shared" si="337"/>
        <v>3783.8103046008637</v>
      </c>
      <c r="AV236" s="65">
        <f t="shared" si="337"/>
        <v>25130.840908511418</v>
      </c>
      <c r="AW236" s="65">
        <f t="shared" si="337"/>
        <v>15179.150041476763</v>
      </c>
      <c r="AX236" s="65">
        <f t="shared" si="337"/>
        <v>8976.4340872127523</v>
      </c>
      <c r="AY236" s="65">
        <f t="shared" si="337"/>
        <v>0</v>
      </c>
      <c r="AZ236" s="65">
        <f t="shared" si="337"/>
        <v>5221.6582203491917</v>
      </c>
      <c r="BB236" s="64"/>
      <c r="BC236" s="66"/>
      <c r="BD236" s="66"/>
      <c r="BE236" s="66"/>
    </row>
    <row r="237" spans="1:177" ht="21" customHeight="1" x14ac:dyDescent="0.2">
      <c r="B237" s="67">
        <v>13</v>
      </c>
      <c r="C237" s="73" t="s">
        <v>66</v>
      </c>
      <c r="D237" s="67">
        <v>5069</v>
      </c>
      <c r="E237" s="72" t="s">
        <v>349</v>
      </c>
      <c r="F237" s="72" t="s">
        <v>350</v>
      </c>
      <c r="G237" s="123">
        <v>40756</v>
      </c>
      <c r="H237" s="56" t="str">
        <f t="shared" si="318"/>
        <v>13 AÑOS</v>
      </c>
      <c r="I237" s="57">
        <v>6060.0204974237013</v>
      </c>
      <c r="J237" s="58"/>
      <c r="K237" s="58"/>
      <c r="L237" s="59"/>
      <c r="M237" s="60">
        <v>4.0000000000000002E-4</v>
      </c>
      <c r="N237" s="61">
        <f t="shared" si="319"/>
        <v>242.40081989694806</v>
      </c>
      <c r="O237" s="58">
        <f t="shared" si="320"/>
        <v>6302.421317320649</v>
      </c>
      <c r="P237" s="61">
        <f t="shared" si="321"/>
        <v>12604.842634641298</v>
      </c>
      <c r="Q237" s="61">
        <f t="shared" si="322"/>
        <v>9453.6319759809739</v>
      </c>
      <c r="R237" s="61">
        <f t="shared" si="323"/>
        <v>3151.2106586603245</v>
      </c>
      <c r="S237" s="61">
        <f t="shared" si="324"/>
        <v>420.16142115470996</v>
      </c>
      <c r="T237" s="58">
        <f t="shared" si="325"/>
        <v>482.30329534349153</v>
      </c>
      <c r="U237" s="61">
        <f t="shared" si="326"/>
        <v>4726.815987990487</v>
      </c>
      <c r="V237" s="58">
        <f t="shared" si="327"/>
        <v>1575.6053293301622</v>
      </c>
      <c r="W237" s="101">
        <v>0.05</v>
      </c>
      <c r="X237" s="63">
        <f t="shared" si="328"/>
        <v>630.24213173206499</v>
      </c>
      <c r="Y237" s="61">
        <v>715.59442298672991</v>
      </c>
      <c r="Z237" s="61">
        <v>0</v>
      </c>
      <c r="AA237" s="61">
        <f t="shared" si="329"/>
        <v>1575.6053293301622</v>
      </c>
      <c r="AB237" s="61">
        <f t="shared" si="330"/>
        <v>315.12106586603244</v>
      </c>
      <c r="AC237" s="61">
        <v>2093.2736045551565</v>
      </c>
      <c r="AD237" s="61">
        <v>1264.1410522600584</v>
      </c>
      <c r="AE237" s="61">
        <v>747.57010778241192</v>
      </c>
      <c r="AF237" s="61">
        <v>0</v>
      </c>
      <c r="AG237" s="61">
        <f t="shared" si="331"/>
        <v>434.86707089512481</v>
      </c>
      <c r="AH237" s="64"/>
      <c r="AI237" s="64"/>
      <c r="AJ237" s="67">
        <v>13</v>
      </c>
      <c r="AK237" s="73" t="s">
        <v>66</v>
      </c>
      <c r="AL237" s="67">
        <v>5069</v>
      </c>
      <c r="AM237" s="72" t="s">
        <v>349</v>
      </c>
      <c r="AN237" s="72" t="s">
        <v>350</v>
      </c>
      <c r="AO237" s="138">
        <f t="shared" si="336"/>
        <v>113443.58371177169</v>
      </c>
      <c r="AP237" s="65">
        <f t="shared" si="336"/>
        <v>37814.527903923896</v>
      </c>
      <c r="AQ237" s="65">
        <f t="shared" si="337"/>
        <v>7562.9055807847799</v>
      </c>
      <c r="AR237" s="65">
        <f t="shared" si="337"/>
        <v>8587.1330758407585</v>
      </c>
      <c r="AS237" s="65">
        <f t="shared" si="337"/>
        <v>0</v>
      </c>
      <c r="AT237" s="65">
        <f t="shared" si="337"/>
        <v>18907.263951961948</v>
      </c>
      <c r="AU237" s="65">
        <f t="shared" si="337"/>
        <v>3781.452790392389</v>
      </c>
      <c r="AV237" s="65">
        <f t="shared" si="337"/>
        <v>25119.283254661877</v>
      </c>
      <c r="AW237" s="65">
        <f t="shared" si="337"/>
        <v>15169.692627120701</v>
      </c>
      <c r="AX237" s="65">
        <f t="shared" si="337"/>
        <v>8970.8412933889431</v>
      </c>
      <c r="AY237" s="65">
        <f t="shared" si="337"/>
        <v>0</v>
      </c>
      <c r="AZ237" s="65">
        <f t="shared" si="337"/>
        <v>5218.4048507414973</v>
      </c>
      <c r="BB237" s="64"/>
      <c r="BC237" s="66"/>
      <c r="BD237" s="66"/>
      <c r="BE237" s="66"/>
    </row>
    <row r="238" spans="1:177" s="102" customFormat="1" ht="21" customHeight="1" x14ac:dyDescent="0.2">
      <c r="A238" s="50"/>
      <c r="B238" s="67">
        <v>14</v>
      </c>
      <c r="C238" s="77" t="s">
        <v>66</v>
      </c>
      <c r="D238" s="127">
        <v>5042</v>
      </c>
      <c r="E238" s="73" t="s">
        <v>351</v>
      </c>
      <c r="F238" s="72" t="s">
        <v>352</v>
      </c>
      <c r="G238" s="157">
        <v>39860</v>
      </c>
      <c r="H238" s="56" t="str">
        <f t="shared" si="318"/>
        <v>15 AÑOS</v>
      </c>
      <c r="I238" s="57">
        <v>4663.8752917011197</v>
      </c>
      <c r="J238" s="58"/>
      <c r="K238" s="58"/>
      <c r="L238" s="59"/>
      <c r="M238" s="60">
        <v>4.0000000000000002E-4</v>
      </c>
      <c r="N238" s="61">
        <f t="shared" si="319"/>
        <v>186.55501166804478</v>
      </c>
      <c r="O238" s="58">
        <f t="shared" si="320"/>
        <v>4850.4303033691649</v>
      </c>
      <c r="P238" s="61">
        <f t="shared" si="321"/>
        <v>9700.8606067383298</v>
      </c>
      <c r="Q238" s="61">
        <f t="shared" si="322"/>
        <v>7275.6454550537474</v>
      </c>
      <c r="R238" s="61">
        <f t="shared" si="323"/>
        <v>2425.2151516845825</v>
      </c>
      <c r="S238" s="61">
        <f t="shared" si="324"/>
        <v>323.362020224611</v>
      </c>
      <c r="T238" s="58">
        <f t="shared" si="325"/>
        <v>371.18726301583092</v>
      </c>
      <c r="U238" s="61">
        <f t="shared" si="326"/>
        <v>3637.8227275268737</v>
      </c>
      <c r="V238" s="58">
        <f t="shared" si="327"/>
        <v>1212.6075758422912</v>
      </c>
      <c r="W238" s="101">
        <v>7.4999999999999997E-2</v>
      </c>
      <c r="X238" s="63">
        <f t="shared" si="328"/>
        <v>727.56454550537467</v>
      </c>
      <c r="Y238" s="61">
        <v>263.82948950984763</v>
      </c>
      <c r="Z238" s="61">
        <v>0</v>
      </c>
      <c r="AA238" s="61">
        <f t="shared" si="329"/>
        <v>1212.6075758422912</v>
      </c>
      <c r="AB238" s="61">
        <f t="shared" si="330"/>
        <v>242.52151516845825</v>
      </c>
      <c r="AC238" s="61">
        <v>1737.356141331132</v>
      </c>
      <c r="AD238" s="61">
        <v>921.11975253693527</v>
      </c>
      <c r="AE238" s="61">
        <v>575.34025767453795</v>
      </c>
      <c r="AF238" s="61">
        <v>0</v>
      </c>
      <c r="AG238" s="61">
        <f t="shared" si="331"/>
        <v>334.6796909324724</v>
      </c>
      <c r="AH238" s="64"/>
      <c r="AI238" s="64"/>
      <c r="AJ238" s="67">
        <v>14</v>
      </c>
      <c r="AK238" s="77" t="s">
        <v>66</v>
      </c>
      <c r="AL238" s="127">
        <v>5042</v>
      </c>
      <c r="AM238" s="73" t="s">
        <v>351</v>
      </c>
      <c r="AN238" s="72" t="s">
        <v>352</v>
      </c>
      <c r="AO238" s="65">
        <f t="shared" si="336"/>
        <v>87307.745460644976</v>
      </c>
      <c r="AP238" s="65">
        <f t="shared" si="336"/>
        <v>29102.581820214989</v>
      </c>
      <c r="AQ238" s="65">
        <f t="shared" si="337"/>
        <v>8730.7745460644965</v>
      </c>
      <c r="AR238" s="65">
        <f t="shared" si="337"/>
        <v>3165.9538741181714</v>
      </c>
      <c r="AS238" s="65">
        <f t="shared" si="337"/>
        <v>0</v>
      </c>
      <c r="AT238" s="65">
        <f t="shared" si="337"/>
        <v>14551.290910107495</v>
      </c>
      <c r="AU238" s="65">
        <f t="shared" si="337"/>
        <v>2910.2581820214991</v>
      </c>
      <c r="AV238" s="65">
        <f t="shared" si="337"/>
        <v>20848.273695973585</v>
      </c>
      <c r="AW238" s="65">
        <f t="shared" si="337"/>
        <v>11053.437030443223</v>
      </c>
      <c r="AX238" s="65">
        <f t="shared" si="337"/>
        <v>6904.0830920944554</v>
      </c>
      <c r="AY238" s="65">
        <f t="shared" si="337"/>
        <v>0</v>
      </c>
      <c r="AZ238" s="65">
        <f t="shared" si="337"/>
        <v>4016.156291189669</v>
      </c>
      <c r="BA238" s="50"/>
      <c r="BB238" s="64"/>
      <c r="BC238" s="66"/>
      <c r="BD238" s="66"/>
      <c r="BE238" s="66"/>
      <c r="BF238" s="50"/>
      <c r="BG238" s="50"/>
      <c r="BH238" s="50"/>
      <c r="BI238" s="50"/>
      <c r="BJ238" s="50"/>
      <c r="BK238" s="50"/>
      <c r="BL238" s="50"/>
      <c r="BM238" s="50"/>
      <c r="BN238" s="50"/>
      <c r="BO238" s="50"/>
      <c r="BP238" s="50"/>
      <c r="BQ238" s="50"/>
      <c r="BR238" s="50"/>
      <c r="BS238" s="50"/>
      <c r="BT238" s="50"/>
      <c r="BU238" s="50"/>
      <c r="BV238" s="50"/>
      <c r="BW238" s="50"/>
      <c r="BX238" s="50"/>
      <c r="BY238" s="50"/>
      <c r="BZ238" s="50"/>
      <c r="CA238" s="50"/>
      <c r="CB238" s="50"/>
      <c r="CC238" s="50"/>
      <c r="CD238" s="50"/>
      <c r="CE238" s="50"/>
      <c r="CF238" s="50"/>
      <c r="CG238" s="50"/>
      <c r="CH238" s="50"/>
      <c r="CI238" s="50"/>
      <c r="CJ238" s="50"/>
      <c r="CK238" s="50"/>
      <c r="CL238" s="50"/>
      <c r="CM238" s="50"/>
      <c r="CN238" s="50"/>
      <c r="CO238" s="50"/>
      <c r="CP238" s="50"/>
      <c r="CQ238" s="50"/>
      <c r="CR238" s="50"/>
      <c r="CS238" s="50"/>
      <c r="CT238" s="50"/>
      <c r="CU238" s="50"/>
      <c r="CV238" s="50"/>
      <c r="CW238" s="50"/>
      <c r="CX238" s="50"/>
      <c r="CY238" s="50"/>
      <c r="CZ238" s="50"/>
      <c r="DA238" s="50"/>
      <c r="DB238" s="50"/>
      <c r="DC238" s="50"/>
      <c r="DD238" s="50"/>
      <c r="DE238" s="50"/>
      <c r="DF238" s="50"/>
      <c r="DG238" s="50"/>
      <c r="DH238" s="50"/>
      <c r="DI238" s="50"/>
      <c r="DJ238" s="50"/>
      <c r="DK238" s="50"/>
      <c r="DL238" s="50"/>
      <c r="DM238" s="50"/>
      <c r="DN238" s="50"/>
      <c r="DO238" s="50"/>
      <c r="DP238" s="50"/>
      <c r="DQ238" s="50"/>
      <c r="DR238" s="50"/>
      <c r="DS238" s="50"/>
      <c r="DT238" s="50"/>
      <c r="DU238" s="50"/>
      <c r="DV238" s="50"/>
      <c r="DW238" s="50"/>
      <c r="DX238" s="50"/>
      <c r="DY238" s="50"/>
      <c r="DZ238" s="50"/>
      <c r="EA238" s="50"/>
      <c r="EB238" s="50"/>
      <c r="EC238" s="50"/>
      <c r="ED238" s="50"/>
      <c r="EE238" s="50"/>
      <c r="EF238" s="50"/>
      <c r="EG238" s="50"/>
      <c r="EH238" s="50"/>
      <c r="EI238" s="50"/>
      <c r="EJ238" s="50"/>
      <c r="EK238" s="50"/>
      <c r="EL238" s="50"/>
      <c r="EM238" s="50"/>
      <c r="EN238" s="50"/>
      <c r="EO238" s="50"/>
      <c r="EP238" s="50"/>
      <c r="EQ238" s="50"/>
      <c r="ER238" s="50"/>
      <c r="ES238" s="50"/>
      <c r="ET238" s="50"/>
      <c r="EU238" s="50"/>
      <c r="EV238" s="50"/>
      <c r="EW238" s="50"/>
      <c r="EX238" s="50"/>
      <c r="EY238" s="50"/>
      <c r="EZ238" s="50"/>
      <c r="FA238" s="50"/>
      <c r="FB238" s="50"/>
      <c r="FC238" s="50"/>
      <c r="FD238" s="50"/>
      <c r="FE238" s="50"/>
      <c r="FF238" s="50"/>
      <c r="FG238" s="50"/>
      <c r="FH238" s="50"/>
      <c r="FI238" s="50"/>
      <c r="FJ238" s="50"/>
      <c r="FK238" s="50"/>
      <c r="FL238" s="50"/>
      <c r="FM238" s="50"/>
      <c r="FN238" s="50"/>
      <c r="FO238" s="50"/>
      <c r="FP238" s="50"/>
      <c r="FQ238" s="50"/>
      <c r="FR238" s="50"/>
      <c r="FS238" s="50"/>
      <c r="FT238" s="50"/>
      <c r="FU238" s="50"/>
    </row>
    <row r="239" spans="1:177" ht="21" customHeight="1" x14ac:dyDescent="0.2">
      <c r="B239" s="67">
        <v>15</v>
      </c>
      <c r="C239" s="73" t="s">
        <v>66</v>
      </c>
      <c r="D239" s="67">
        <v>9003</v>
      </c>
      <c r="E239" s="72" t="s">
        <v>353</v>
      </c>
      <c r="F239" s="72" t="s">
        <v>354</v>
      </c>
      <c r="G239" s="123">
        <v>34774</v>
      </c>
      <c r="H239" s="56" t="str">
        <f t="shared" si="318"/>
        <v>29 AÑOS</v>
      </c>
      <c r="I239" s="57">
        <v>5208.3361061755195</v>
      </c>
      <c r="J239" s="58"/>
      <c r="K239" s="58"/>
      <c r="L239" s="59"/>
      <c r="M239" s="60">
        <v>4.0000000000000002E-4</v>
      </c>
      <c r="N239" s="61">
        <f t="shared" si="319"/>
        <v>208.33344424702079</v>
      </c>
      <c r="O239" s="58">
        <f t="shared" si="320"/>
        <v>5416.6695504225399</v>
      </c>
      <c r="P239" s="61">
        <f t="shared" si="321"/>
        <v>10833.33910084508</v>
      </c>
      <c r="Q239" s="61">
        <f t="shared" si="322"/>
        <v>8125.0043256338104</v>
      </c>
      <c r="R239" s="61">
        <f t="shared" si="323"/>
        <v>2708.33477521127</v>
      </c>
      <c r="S239" s="61">
        <f t="shared" si="324"/>
        <v>361.11130336150268</v>
      </c>
      <c r="T239" s="58">
        <f t="shared" si="325"/>
        <v>414.51966512866892</v>
      </c>
      <c r="U239" s="61">
        <f t="shared" si="326"/>
        <v>4062.5021628169052</v>
      </c>
      <c r="V239" s="58">
        <f t="shared" si="327"/>
        <v>1354.167387605635</v>
      </c>
      <c r="W239" s="101">
        <v>7.4999999999999997E-2</v>
      </c>
      <c r="X239" s="63">
        <f t="shared" si="328"/>
        <v>812.50043256338097</v>
      </c>
      <c r="Y239" s="61">
        <v>571.03973462895851</v>
      </c>
      <c r="Z239" s="61">
        <v>0</v>
      </c>
      <c r="AA239" s="61">
        <f t="shared" si="329"/>
        <v>1354.167387605635</v>
      </c>
      <c r="AB239" s="61">
        <f t="shared" si="330"/>
        <v>270.83347752112701</v>
      </c>
      <c r="AC239" s="61">
        <v>1876.1548215245159</v>
      </c>
      <c r="AD239" s="61">
        <v>1028.6512750000484</v>
      </c>
      <c r="AE239" s="61">
        <v>642.50548094943679</v>
      </c>
      <c r="AF239" s="61">
        <v>0</v>
      </c>
      <c r="AG239" s="61">
        <f t="shared" si="331"/>
        <v>373.7501989791553</v>
      </c>
      <c r="AH239" s="64"/>
      <c r="AI239" s="64"/>
      <c r="AJ239" s="67">
        <v>15</v>
      </c>
      <c r="AK239" s="73" t="s">
        <v>66</v>
      </c>
      <c r="AL239" s="67">
        <v>9003</v>
      </c>
      <c r="AM239" s="72" t="s">
        <v>353</v>
      </c>
      <c r="AN239" s="72" t="s">
        <v>354</v>
      </c>
      <c r="AO239" s="138">
        <f t="shared" si="336"/>
        <v>97500.051907605724</v>
      </c>
      <c r="AP239" s="65">
        <f t="shared" si="336"/>
        <v>32500.017302535241</v>
      </c>
      <c r="AQ239" s="65">
        <f t="shared" si="337"/>
        <v>9750.0051907605721</v>
      </c>
      <c r="AR239" s="65">
        <f t="shared" si="337"/>
        <v>6852.4768155475022</v>
      </c>
      <c r="AS239" s="65">
        <f t="shared" si="337"/>
        <v>0</v>
      </c>
      <c r="AT239" s="65">
        <f t="shared" si="337"/>
        <v>16250.008651267621</v>
      </c>
      <c r="AU239" s="65">
        <f t="shared" si="337"/>
        <v>3250.0017302535243</v>
      </c>
      <c r="AV239" s="65">
        <f t="shared" si="337"/>
        <v>22513.857858294192</v>
      </c>
      <c r="AW239" s="65">
        <f t="shared" si="337"/>
        <v>12343.81530000058</v>
      </c>
      <c r="AX239" s="65">
        <f t="shared" si="337"/>
        <v>7710.0657713932414</v>
      </c>
      <c r="AY239" s="65">
        <f t="shared" si="337"/>
        <v>0</v>
      </c>
      <c r="AZ239" s="65">
        <f t="shared" si="337"/>
        <v>4485.0023877498634</v>
      </c>
      <c r="BB239" s="64"/>
      <c r="BC239" s="66"/>
      <c r="BD239" s="66"/>
      <c r="BE239" s="66"/>
    </row>
    <row r="240" spans="1:177" ht="21" customHeight="1" x14ac:dyDescent="0.2">
      <c r="B240" s="67">
        <v>16</v>
      </c>
      <c r="C240" s="73" t="s">
        <v>66</v>
      </c>
      <c r="D240" s="67">
        <v>9123</v>
      </c>
      <c r="E240" s="73" t="s">
        <v>355</v>
      </c>
      <c r="F240" s="72" t="s">
        <v>356</v>
      </c>
      <c r="G240" s="155">
        <v>44197</v>
      </c>
      <c r="H240" s="56" t="str">
        <f t="shared" si="318"/>
        <v>3 AÑOS</v>
      </c>
      <c r="I240" s="57">
        <v>5057.598</v>
      </c>
      <c r="J240" s="58"/>
      <c r="K240" s="57"/>
      <c r="L240" s="59"/>
      <c r="M240" s="60">
        <v>4.0000000000000002E-4</v>
      </c>
      <c r="N240" s="61">
        <f t="shared" si="319"/>
        <v>202.30392000000001</v>
      </c>
      <c r="O240" s="58">
        <f t="shared" si="320"/>
        <v>5259.9019200000002</v>
      </c>
      <c r="P240" s="61">
        <f t="shared" si="321"/>
        <v>10519.80384</v>
      </c>
      <c r="Q240" s="61">
        <f t="shared" si="322"/>
        <v>7889.8528800000004</v>
      </c>
      <c r="R240" s="61">
        <f t="shared" si="323"/>
        <v>2629.9509600000001</v>
      </c>
      <c r="S240" s="61">
        <f t="shared" si="324"/>
        <v>350.66012800000004</v>
      </c>
      <c r="T240" s="58">
        <f t="shared" si="325"/>
        <v>402.52276093120003</v>
      </c>
      <c r="U240" s="61">
        <f t="shared" si="326"/>
        <v>3944.9264400000002</v>
      </c>
      <c r="V240" s="58">
        <f t="shared" si="327"/>
        <v>1314.9754800000001</v>
      </c>
      <c r="W240" s="62">
        <v>0</v>
      </c>
      <c r="X240" s="63">
        <f t="shared" si="328"/>
        <v>0</v>
      </c>
      <c r="Y240" s="61">
        <v>545.45525734399996</v>
      </c>
      <c r="Z240" s="61">
        <v>0</v>
      </c>
      <c r="AA240" s="61">
        <f t="shared" si="329"/>
        <v>1314.9754800000003</v>
      </c>
      <c r="AB240" s="61">
        <f t="shared" si="330"/>
        <v>262.99509600000005</v>
      </c>
      <c r="AC240" s="61">
        <v>1837.7273541369689</v>
      </c>
      <c r="AD240" s="61">
        <v>998.88035738881945</v>
      </c>
      <c r="AE240" s="61">
        <v>623.91027944336008</v>
      </c>
      <c r="AF240" s="61">
        <v>0</v>
      </c>
      <c r="AG240" s="61">
        <f t="shared" si="331"/>
        <v>362.93323248000007</v>
      </c>
      <c r="AH240" s="64"/>
      <c r="AI240" s="64"/>
      <c r="AJ240" s="67">
        <v>16</v>
      </c>
      <c r="AK240" s="73" t="s">
        <v>66</v>
      </c>
      <c r="AL240" s="67">
        <v>9123</v>
      </c>
      <c r="AM240" s="73" t="s">
        <v>355</v>
      </c>
      <c r="AN240" s="72" t="s">
        <v>356</v>
      </c>
      <c r="AO240" s="138">
        <f t="shared" si="336"/>
        <v>94678.234560000012</v>
      </c>
      <c r="AP240" s="65">
        <f t="shared" si="336"/>
        <v>31559.411520000001</v>
      </c>
      <c r="AQ240" s="65">
        <f t="shared" si="337"/>
        <v>0</v>
      </c>
      <c r="AR240" s="65">
        <f t="shared" si="337"/>
        <v>6545.4630881279991</v>
      </c>
      <c r="AS240" s="65">
        <f t="shared" si="337"/>
        <v>0</v>
      </c>
      <c r="AT240" s="65">
        <f t="shared" si="337"/>
        <v>15779.705760000004</v>
      </c>
      <c r="AU240" s="65">
        <f t="shared" si="337"/>
        <v>3155.9411520000003</v>
      </c>
      <c r="AV240" s="65">
        <f t="shared" si="337"/>
        <v>22052.728249643627</v>
      </c>
      <c r="AW240" s="65">
        <f t="shared" si="337"/>
        <v>11986.564288665833</v>
      </c>
      <c r="AX240" s="65">
        <f t="shared" si="337"/>
        <v>7486.9233533203205</v>
      </c>
      <c r="AY240" s="65">
        <f t="shared" si="337"/>
        <v>0</v>
      </c>
      <c r="AZ240" s="65">
        <f t="shared" si="337"/>
        <v>4355.1987897600011</v>
      </c>
      <c r="BB240" s="64"/>
      <c r="BC240" s="66"/>
      <c r="BD240" s="66"/>
      <c r="BE240" s="66"/>
    </row>
    <row r="241" spans="2:57" ht="21" customHeight="1" x14ac:dyDescent="0.2">
      <c r="B241" s="67">
        <v>17</v>
      </c>
      <c r="C241" s="73" t="s">
        <v>66</v>
      </c>
      <c r="D241" s="67">
        <v>13305</v>
      </c>
      <c r="E241" s="72" t="s">
        <v>357</v>
      </c>
      <c r="F241" s="79" t="s">
        <v>358</v>
      </c>
      <c r="G241" s="56">
        <v>42156</v>
      </c>
      <c r="H241" s="56" t="str">
        <f t="shared" si="318"/>
        <v>9 AÑOS</v>
      </c>
      <c r="I241" s="57">
        <v>4894.4866299329215</v>
      </c>
      <c r="J241" s="58"/>
      <c r="K241" s="58"/>
      <c r="L241" s="59"/>
      <c r="M241" s="60">
        <v>4.0000000000000002E-4</v>
      </c>
      <c r="N241" s="61">
        <f t="shared" si="319"/>
        <v>195.77946519731685</v>
      </c>
      <c r="O241" s="58">
        <f t="shared" si="320"/>
        <v>5090.2660951302387</v>
      </c>
      <c r="P241" s="61">
        <f t="shared" si="321"/>
        <v>10180.532190260477</v>
      </c>
      <c r="Q241" s="61">
        <f t="shared" si="322"/>
        <v>7635.399142695358</v>
      </c>
      <c r="R241" s="61">
        <f t="shared" si="323"/>
        <v>2545.1330475651193</v>
      </c>
      <c r="S241" s="61">
        <f t="shared" si="324"/>
        <v>339.35107300868259</v>
      </c>
      <c r="T241" s="58">
        <f t="shared" si="325"/>
        <v>389.54109670666674</v>
      </c>
      <c r="U241" s="61">
        <f t="shared" si="326"/>
        <v>3817.699571347679</v>
      </c>
      <c r="V241" s="58">
        <f t="shared" si="327"/>
        <v>1272.5665237825597</v>
      </c>
      <c r="W241" s="101">
        <v>2.5000000000000001E-2</v>
      </c>
      <c r="X241" s="63">
        <f t="shared" si="328"/>
        <v>254.51330475651196</v>
      </c>
      <c r="Y241" s="61">
        <v>517.77069072525489</v>
      </c>
      <c r="Z241" s="61">
        <v>0</v>
      </c>
      <c r="AA241" s="61">
        <f t="shared" si="329"/>
        <v>1272.5665237825597</v>
      </c>
      <c r="AB241" s="61">
        <f t="shared" si="330"/>
        <v>254.51330475651196</v>
      </c>
      <c r="AC241" s="61">
        <v>1796.1455868399037</v>
      </c>
      <c r="AD241" s="61">
        <v>966.66570853242888</v>
      </c>
      <c r="AE241" s="61">
        <v>603.78869989533348</v>
      </c>
      <c r="AF241" s="61">
        <v>0</v>
      </c>
      <c r="AG241" s="61">
        <f t="shared" si="331"/>
        <v>351.22836056398648</v>
      </c>
      <c r="AH241" s="64"/>
      <c r="AI241" s="64"/>
      <c r="AJ241" s="67">
        <v>17</v>
      </c>
      <c r="AK241" s="73" t="s">
        <v>66</v>
      </c>
      <c r="AL241" s="67">
        <v>13305</v>
      </c>
      <c r="AM241" s="72" t="s">
        <v>357</v>
      </c>
      <c r="AN241" s="79" t="s">
        <v>358</v>
      </c>
      <c r="AO241" s="138">
        <f t="shared" si="336"/>
        <v>91624.789712344296</v>
      </c>
      <c r="AP241" s="65">
        <f t="shared" si="336"/>
        <v>30541.596570781432</v>
      </c>
      <c r="AQ241" s="65">
        <f t="shared" si="337"/>
        <v>3054.1596570781435</v>
      </c>
      <c r="AR241" s="65">
        <f t="shared" si="337"/>
        <v>6213.2482887030583</v>
      </c>
      <c r="AS241" s="65">
        <f t="shared" si="337"/>
        <v>0</v>
      </c>
      <c r="AT241" s="65">
        <f t="shared" si="337"/>
        <v>15270.798285390716</v>
      </c>
      <c r="AU241" s="65">
        <f t="shared" si="337"/>
        <v>3054.1596570781435</v>
      </c>
      <c r="AV241" s="65">
        <f t="shared" si="337"/>
        <v>21553.747042078845</v>
      </c>
      <c r="AW241" s="65">
        <f t="shared" si="337"/>
        <v>11599.988502389147</v>
      </c>
      <c r="AX241" s="65">
        <f t="shared" si="337"/>
        <v>7245.4643987440013</v>
      </c>
      <c r="AY241" s="65">
        <f t="shared" si="337"/>
        <v>0</v>
      </c>
      <c r="AZ241" s="65">
        <f t="shared" si="337"/>
        <v>4214.7403267678383</v>
      </c>
      <c r="BB241" s="64"/>
      <c r="BC241" s="66"/>
      <c r="BD241" s="66"/>
      <c r="BE241" s="66"/>
    </row>
    <row r="242" spans="2:57" s="364" customFormat="1" ht="21" customHeight="1" x14ac:dyDescent="0.2">
      <c r="B242" s="365">
        <v>18</v>
      </c>
      <c r="C242" s="372" t="s">
        <v>66</v>
      </c>
      <c r="D242" s="396"/>
      <c r="E242" s="375" t="s">
        <v>55</v>
      </c>
      <c r="F242" s="371" t="s">
        <v>359</v>
      </c>
      <c r="G242" s="404">
        <v>45323</v>
      </c>
      <c r="H242" s="56" t="str">
        <f t="shared" si="318"/>
        <v>0 AÑOS</v>
      </c>
      <c r="I242" s="57">
        <v>6922.5634148903409</v>
      </c>
      <c r="J242" s="58"/>
      <c r="K242" s="58"/>
      <c r="L242" s="59"/>
      <c r="M242" s="60">
        <v>4.0000000000000002E-4</v>
      </c>
      <c r="N242" s="61">
        <f t="shared" si="319"/>
        <v>276.90253659561364</v>
      </c>
      <c r="O242" s="58">
        <v>7212.5</v>
      </c>
      <c r="P242" s="61">
        <f t="shared" si="321"/>
        <v>14425</v>
      </c>
      <c r="Q242" s="61">
        <f t="shared" si="322"/>
        <v>10818.75</v>
      </c>
      <c r="R242" s="61">
        <f t="shared" si="323"/>
        <v>3606.25</v>
      </c>
      <c r="S242" s="61">
        <f t="shared" si="324"/>
        <v>480.83333333333331</v>
      </c>
      <c r="T242" s="58">
        <f t="shared" si="325"/>
        <v>551.94858333333332</v>
      </c>
      <c r="U242" s="61">
        <f t="shared" si="326"/>
        <v>5409.375</v>
      </c>
      <c r="V242" s="58">
        <f t="shared" si="327"/>
        <v>1803.125</v>
      </c>
      <c r="W242" s="101">
        <v>0</v>
      </c>
      <c r="X242" s="63">
        <f t="shared" si="328"/>
        <v>0</v>
      </c>
      <c r="Y242" s="61">
        <v>864.12</v>
      </c>
      <c r="Z242" s="61">
        <v>0</v>
      </c>
      <c r="AA242" s="61">
        <f t="shared" si="329"/>
        <v>1803.125</v>
      </c>
      <c r="AB242" s="61">
        <f t="shared" si="330"/>
        <v>360.625</v>
      </c>
      <c r="AC242" s="61">
        <v>2316.3554920883248</v>
      </c>
      <c r="AD242" s="61">
        <v>1446.6848343458332</v>
      </c>
      <c r="AE242" s="61">
        <v>855.52030416666662</v>
      </c>
      <c r="AF242" s="61">
        <v>0</v>
      </c>
      <c r="AG242" s="61">
        <f t="shared" si="331"/>
        <v>497.66249999999997</v>
      </c>
      <c r="AH242" s="64"/>
      <c r="AI242" s="64"/>
      <c r="AJ242" s="365">
        <v>18</v>
      </c>
      <c r="AK242" s="372" t="s">
        <v>66</v>
      </c>
      <c r="AL242" s="396"/>
      <c r="AM242" s="375" t="s">
        <v>55</v>
      </c>
      <c r="AN242" s="371" t="s">
        <v>359</v>
      </c>
      <c r="AO242" s="401">
        <f>Q242*9.5</f>
        <v>102778.125</v>
      </c>
      <c r="AP242" s="368">
        <f>R242*9.5</f>
        <v>34259.375</v>
      </c>
      <c r="AQ242" s="368">
        <f t="shared" ref="AQ242:AZ242" si="338">X242*9.5</f>
        <v>0</v>
      </c>
      <c r="AR242" s="368">
        <f t="shared" si="338"/>
        <v>8209.14</v>
      </c>
      <c r="AS242" s="368">
        <f t="shared" si="338"/>
        <v>0</v>
      </c>
      <c r="AT242" s="368">
        <f t="shared" si="338"/>
        <v>17129.6875</v>
      </c>
      <c r="AU242" s="368">
        <f t="shared" si="338"/>
        <v>3425.9375</v>
      </c>
      <c r="AV242" s="368">
        <f t="shared" si="338"/>
        <v>22005.377174839086</v>
      </c>
      <c r="AW242" s="368">
        <f t="shared" si="338"/>
        <v>13743.505926285416</v>
      </c>
      <c r="AX242" s="368">
        <f t="shared" si="338"/>
        <v>8127.4428895833325</v>
      </c>
      <c r="AY242" s="368">
        <f t="shared" si="338"/>
        <v>0</v>
      </c>
      <c r="AZ242" s="368">
        <f t="shared" si="338"/>
        <v>4727.7937499999998</v>
      </c>
      <c r="BB242" s="64"/>
      <c r="BC242" s="66"/>
      <c r="BD242" s="66"/>
      <c r="BE242" s="66"/>
    </row>
    <row r="243" spans="2:57" s="364" customFormat="1" ht="21" customHeight="1" x14ac:dyDescent="0.2">
      <c r="B243" s="365">
        <v>19</v>
      </c>
      <c r="C243" s="372" t="s">
        <v>66</v>
      </c>
      <c r="D243" s="365">
        <v>1066</v>
      </c>
      <c r="E243" s="371" t="s">
        <v>360</v>
      </c>
      <c r="F243" s="371" t="s">
        <v>361</v>
      </c>
      <c r="G243" s="55">
        <v>42186</v>
      </c>
      <c r="H243" s="56" t="str">
        <f t="shared" si="318"/>
        <v>9 AÑOS</v>
      </c>
      <c r="I243" s="57">
        <v>6473.5304524800003</v>
      </c>
      <c r="J243" s="58"/>
      <c r="K243" s="58"/>
      <c r="L243" s="59"/>
      <c r="M243" s="60">
        <v>4.0000000000000002E-4</v>
      </c>
      <c r="N243" s="61">
        <f t="shared" si="319"/>
        <v>258.9412180992</v>
      </c>
      <c r="O243" s="58">
        <f t="shared" ref="O243:O276" si="339">I243+N243</f>
        <v>6732.4716705792007</v>
      </c>
      <c r="P243" s="61">
        <f t="shared" si="321"/>
        <v>13464.943341158401</v>
      </c>
      <c r="Q243" s="61">
        <f t="shared" si="322"/>
        <v>10098.707505868801</v>
      </c>
      <c r="R243" s="61">
        <f t="shared" si="323"/>
        <v>3366.2358352896003</v>
      </c>
      <c r="S243" s="61">
        <f t="shared" si="324"/>
        <v>448.83144470528003</v>
      </c>
      <c r="T243" s="58">
        <f t="shared" si="325"/>
        <v>515.21361537719088</v>
      </c>
      <c r="U243" s="61">
        <f t="shared" si="326"/>
        <v>5049.3537529344003</v>
      </c>
      <c r="V243" s="58">
        <f t="shared" si="327"/>
        <v>1683.1179176448002</v>
      </c>
      <c r="W243" s="101">
        <v>2.5000000000000001E-2</v>
      </c>
      <c r="X243" s="63">
        <f t="shared" si="328"/>
        <v>336.62358352896007</v>
      </c>
      <c r="Y243" s="61">
        <v>785.77864063852542</v>
      </c>
      <c r="Z243" s="61">
        <v>0</v>
      </c>
      <c r="AA243" s="61">
        <f t="shared" si="329"/>
        <v>1683.1179176448002</v>
      </c>
      <c r="AB243" s="61">
        <f t="shared" si="330"/>
        <v>336.62358352896007</v>
      </c>
      <c r="AC243" s="61">
        <v>2198.689154182995</v>
      </c>
      <c r="AD243" s="61">
        <v>1350.4006465843861</v>
      </c>
      <c r="AE243" s="61">
        <v>798.58110383464589</v>
      </c>
      <c r="AF243" s="61">
        <v>0</v>
      </c>
      <c r="AG243" s="61">
        <f t="shared" si="331"/>
        <v>464.54054526996487</v>
      </c>
      <c r="AH243" s="64"/>
      <c r="AI243" s="64"/>
      <c r="AJ243" s="365">
        <v>19</v>
      </c>
      <c r="AK243" s="372" t="s">
        <v>66</v>
      </c>
      <c r="AL243" s="365">
        <v>1066</v>
      </c>
      <c r="AM243" s="371" t="s">
        <v>360</v>
      </c>
      <c r="AN243" s="371" t="s">
        <v>361</v>
      </c>
      <c r="AO243" s="401">
        <f t="shared" ref="AO243:AP248" si="340">Q243*12</f>
        <v>121184.49007042561</v>
      </c>
      <c r="AP243" s="368">
        <f t="shared" si="340"/>
        <v>40394.830023475202</v>
      </c>
      <c r="AQ243" s="368">
        <f t="shared" ref="AQ243:AZ244" si="341">X243*12</f>
        <v>4039.4830023475206</v>
      </c>
      <c r="AR243" s="368">
        <f t="shared" si="341"/>
        <v>9429.3436876623055</v>
      </c>
      <c r="AS243" s="368">
        <f t="shared" si="341"/>
        <v>0</v>
      </c>
      <c r="AT243" s="368">
        <f t="shared" si="341"/>
        <v>20197.415011737601</v>
      </c>
      <c r="AU243" s="368">
        <f t="shared" si="341"/>
        <v>4039.4830023475206</v>
      </c>
      <c r="AV243" s="368">
        <f t="shared" si="341"/>
        <v>26384.269850195938</v>
      </c>
      <c r="AW243" s="368">
        <f t="shared" si="341"/>
        <v>16204.807759012634</v>
      </c>
      <c r="AX243" s="368">
        <f t="shared" si="341"/>
        <v>9582.9732460157502</v>
      </c>
      <c r="AY243" s="368">
        <f t="shared" si="341"/>
        <v>0</v>
      </c>
      <c r="AZ243" s="368">
        <f t="shared" si="341"/>
        <v>5574.4865432395782</v>
      </c>
      <c r="BB243" s="64"/>
      <c r="BC243" s="66"/>
      <c r="BD243" s="66"/>
      <c r="BE243" s="66"/>
    </row>
    <row r="244" spans="2:57" s="364" customFormat="1" ht="21" customHeight="1" x14ac:dyDescent="0.2">
      <c r="B244" s="365">
        <v>20</v>
      </c>
      <c r="C244" s="372" t="s">
        <v>66</v>
      </c>
      <c r="D244" s="365">
        <v>9022</v>
      </c>
      <c r="E244" s="371" t="s">
        <v>362</v>
      </c>
      <c r="F244" s="371" t="s">
        <v>361</v>
      </c>
      <c r="G244" s="55">
        <v>37484</v>
      </c>
      <c r="H244" s="56" t="str">
        <f t="shared" si="318"/>
        <v>22 AÑOS</v>
      </c>
      <c r="I244" s="57">
        <v>6473.7189041991969</v>
      </c>
      <c r="J244" s="58"/>
      <c r="K244" s="58"/>
      <c r="L244" s="59"/>
      <c r="M244" s="60">
        <v>4.0000000000000002E-4</v>
      </c>
      <c r="N244" s="61">
        <f t="shared" si="319"/>
        <v>258.94875616796787</v>
      </c>
      <c r="O244" s="58">
        <f t="shared" si="339"/>
        <v>6732.6676603671649</v>
      </c>
      <c r="P244" s="61">
        <f t="shared" si="321"/>
        <v>13465.33532073433</v>
      </c>
      <c r="Q244" s="61">
        <f t="shared" si="322"/>
        <v>10099.001490550747</v>
      </c>
      <c r="R244" s="61">
        <f t="shared" si="323"/>
        <v>3366.3338301835824</v>
      </c>
      <c r="S244" s="61">
        <f t="shared" si="324"/>
        <v>448.84451069114431</v>
      </c>
      <c r="T244" s="58">
        <f t="shared" si="325"/>
        <v>515.22861382236454</v>
      </c>
      <c r="U244" s="61">
        <f t="shared" si="326"/>
        <v>5049.5007452753734</v>
      </c>
      <c r="V244" s="58">
        <f t="shared" si="327"/>
        <v>1683.1669150917912</v>
      </c>
      <c r="W244" s="101">
        <v>7.4999999999999997E-2</v>
      </c>
      <c r="X244" s="63">
        <f t="shared" si="328"/>
        <v>1009.9001490550747</v>
      </c>
      <c r="Y244" s="61">
        <v>785.81062617192117</v>
      </c>
      <c r="Z244" s="61">
        <v>0</v>
      </c>
      <c r="AA244" s="61">
        <f t="shared" si="329"/>
        <v>1683.1669150917912</v>
      </c>
      <c r="AB244" s="61">
        <f t="shared" si="330"/>
        <v>336.63338301835824</v>
      </c>
      <c r="AC244" s="61">
        <v>2198.7371959322072</v>
      </c>
      <c r="AD244" s="61">
        <v>1350.4399582591086</v>
      </c>
      <c r="AE244" s="61">
        <v>798.60435142466508</v>
      </c>
      <c r="AF244" s="61">
        <v>0</v>
      </c>
      <c r="AG244" s="61">
        <f t="shared" si="331"/>
        <v>464.55406856533432</v>
      </c>
      <c r="AH244" s="64"/>
      <c r="AI244" s="64"/>
      <c r="AJ244" s="365">
        <v>20</v>
      </c>
      <c r="AK244" s="372" t="s">
        <v>66</v>
      </c>
      <c r="AL244" s="365">
        <v>9022</v>
      </c>
      <c r="AM244" s="371" t="s">
        <v>362</v>
      </c>
      <c r="AN244" s="371" t="s">
        <v>361</v>
      </c>
      <c r="AO244" s="401">
        <f t="shared" si="340"/>
        <v>121188.01788660896</v>
      </c>
      <c r="AP244" s="368">
        <f t="shared" si="340"/>
        <v>40396.005962202988</v>
      </c>
      <c r="AQ244" s="368">
        <f t="shared" si="341"/>
        <v>12118.801788660898</v>
      </c>
      <c r="AR244" s="368">
        <f t="shared" si="341"/>
        <v>9429.7275140630536</v>
      </c>
      <c r="AS244" s="368">
        <f t="shared" si="341"/>
        <v>0</v>
      </c>
      <c r="AT244" s="368">
        <f t="shared" si="341"/>
        <v>20198.002981101494</v>
      </c>
      <c r="AU244" s="368">
        <f t="shared" si="341"/>
        <v>4039.6005962202989</v>
      </c>
      <c r="AV244" s="368">
        <f t="shared" si="341"/>
        <v>26384.846351186487</v>
      </c>
      <c r="AW244" s="368">
        <f t="shared" si="341"/>
        <v>16205.279499109303</v>
      </c>
      <c r="AX244" s="368">
        <f t="shared" si="341"/>
        <v>9583.2522170959819</v>
      </c>
      <c r="AY244" s="368">
        <f t="shared" si="341"/>
        <v>0</v>
      </c>
      <c r="AZ244" s="368">
        <f t="shared" si="341"/>
        <v>5574.6488227840118</v>
      </c>
      <c r="BB244" s="64"/>
      <c r="BC244" s="66"/>
      <c r="BD244" s="66"/>
      <c r="BE244" s="66"/>
    </row>
    <row r="245" spans="2:57" s="364" customFormat="1" ht="21" customHeight="1" x14ac:dyDescent="0.2">
      <c r="B245" s="365">
        <v>21</v>
      </c>
      <c r="C245" s="372" t="s">
        <v>66</v>
      </c>
      <c r="D245" s="365">
        <v>9137</v>
      </c>
      <c r="E245" s="371" t="s">
        <v>363</v>
      </c>
      <c r="F245" s="371" t="s">
        <v>364</v>
      </c>
      <c r="G245" s="55">
        <v>45292</v>
      </c>
      <c r="H245" s="56" t="str">
        <f t="shared" si="318"/>
        <v>0 AÑOS</v>
      </c>
      <c r="I245" s="57">
        <v>4320</v>
      </c>
      <c r="J245" s="58"/>
      <c r="K245" s="58"/>
      <c r="L245" s="59"/>
      <c r="M245" s="60">
        <v>4.0000000000000002E-4</v>
      </c>
      <c r="N245" s="61">
        <f t="shared" si="319"/>
        <v>172.8</v>
      </c>
      <c r="O245" s="58">
        <f t="shared" si="339"/>
        <v>4492.8</v>
      </c>
      <c r="P245" s="61">
        <f t="shared" si="321"/>
        <v>8985.6</v>
      </c>
      <c r="Q245" s="61">
        <f t="shared" si="322"/>
        <v>6739.2000000000007</v>
      </c>
      <c r="R245" s="61">
        <f t="shared" si="323"/>
        <v>2246.4</v>
      </c>
      <c r="S245" s="61">
        <f t="shared" si="324"/>
        <v>299.52000000000004</v>
      </c>
      <c r="T245" s="58">
        <f t="shared" si="325"/>
        <v>343.819008</v>
      </c>
      <c r="U245" s="61">
        <f t="shared" si="326"/>
        <v>3369.6000000000004</v>
      </c>
      <c r="V245" s="58">
        <f t="shared" si="327"/>
        <v>1123.2</v>
      </c>
      <c r="W245" s="101">
        <v>0</v>
      </c>
      <c r="X245" s="63">
        <f t="shared" si="328"/>
        <v>0</v>
      </c>
      <c r="Y245" s="61">
        <v>170.06</v>
      </c>
      <c r="Z245" s="61">
        <v>0</v>
      </c>
      <c r="AA245" s="61">
        <f t="shared" si="329"/>
        <v>1123.2</v>
      </c>
      <c r="AB245" s="61">
        <f t="shared" si="330"/>
        <v>224.64000000000001</v>
      </c>
      <c r="AC245" s="61">
        <v>1649.6924649556224</v>
      </c>
      <c r="AD245" s="61">
        <v>840.41399220480014</v>
      </c>
      <c r="AE245" s="61">
        <v>532.91946240000004</v>
      </c>
      <c r="AF245" s="61">
        <v>0</v>
      </c>
      <c r="AG245" s="61">
        <f t="shared" si="331"/>
        <v>310.00319999999999</v>
      </c>
      <c r="AH245" s="64"/>
      <c r="AI245" s="64"/>
      <c r="AJ245" s="365">
        <v>21</v>
      </c>
      <c r="AK245" s="372" t="s">
        <v>66</v>
      </c>
      <c r="AL245" s="365">
        <v>9137</v>
      </c>
      <c r="AM245" s="371" t="s">
        <v>363</v>
      </c>
      <c r="AN245" s="371" t="s">
        <v>364</v>
      </c>
      <c r="AO245" s="401">
        <f t="shared" si="340"/>
        <v>80870.400000000009</v>
      </c>
      <c r="AP245" s="368">
        <f t="shared" si="340"/>
        <v>26956.800000000003</v>
      </c>
      <c r="AQ245" s="368"/>
      <c r="AR245" s="368">
        <f>Y245*12</f>
        <v>2040.72</v>
      </c>
      <c r="AS245" s="368"/>
      <c r="AT245" s="368">
        <f t="shared" ref="AT245:AZ248" si="342">AA245*12</f>
        <v>13478.400000000001</v>
      </c>
      <c r="AU245" s="368">
        <f t="shared" si="342"/>
        <v>2695.6800000000003</v>
      </c>
      <c r="AV245" s="368">
        <f t="shared" si="342"/>
        <v>19796.30957946747</v>
      </c>
      <c r="AW245" s="368">
        <f t="shared" si="342"/>
        <v>10084.967906457601</v>
      </c>
      <c r="AX245" s="368">
        <f t="shared" si="342"/>
        <v>6395.0335488000001</v>
      </c>
      <c r="AY245" s="368">
        <f t="shared" si="342"/>
        <v>0</v>
      </c>
      <c r="AZ245" s="368">
        <f t="shared" si="342"/>
        <v>3720.0383999999999</v>
      </c>
      <c r="BB245" s="64"/>
      <c r="BC245" s="66"/>
      <c r="BD245" s="66"/>
      <c r="BE245" s="66"/>
    </row>
    <row r="246" spans="2:57" s="364" customFormat="1" ht="21" customHeight="1" x14ac:dyDescent="0.2">
      <c r="B246" s="365">
        <v>22</v>
      </c>
      <c r="C246" s="372" t="s">
        <v>66</v>
      </c>
      <c r="D246" s="365">
        <v>9135</v>
      </c>
      <c r="E246" s="364" t="s">
        <v>365</v>
      </c>
      <c r="F246" s="372" t="s">
        <v>366</v>
      </c>
      <c r="G246" s="384">
        <v>45246</v>
      </c>
      <c r="H246" s="56" t="str">
        <f t="shared" si="318"/>
        <v>1 AÑOS</v>
      </c>
      <c r="I246" s="57">
        <v>4882.524188331131</v>
      </c>
      <c r="J246" s="58"/>
      <c r="K246" s="58"/>
      <c r="L246" s="59"/>
      <c r="M246" s="60">
        <v>4.0000000000000002E-4</v>
      </c>
      <c r="N246" s="61">
        <f t="shared" si="319"/>
        <v>195.30096753324526</v>
      </c>
      <c r="O246" s="58">
        <f t="shared" si="339"/>
        <v>5077.825155864376</v>
      </c>
      <c r="P246" s="61">
        <f t="shared" si="321"/>
        <v>10155.650311728752</v>
      </c>
      <c r="Q246" s="61">
        <f t="shared" si="322"/>
        <v>7616.7377337965645</v>
      </c>
      <c r="R246" s="61">
        <f t="shared" si="323"/>
        <v>2538.912577932188</v>
      </c>
      <c r="S246" s="61">
        <f t="shared" si="324"/>
        <v>338.52167705762508</v>
      </c>
      <c r="T246" s="58">
        <f t="shared" si="325"/>
        <v>388.58903309444781</v>
      </c>
      <c r="U246" s="61">
        <f t="shared" si="326"/>
        <v>3808.3688668982822</v>
      </c>
      <c r="V246" s="58">
        <f t="shared" si="327"/>
        <v>1269.456288966094</v>
      </c>
      <c r="W246" s="101">
        <v>0</v>
      </c>
      <c r="X246" s="63">
        <f t="shared" si="328"/>
        <v>0</v>
      </c>
      <c r="Y246" s="61">
        <v>515.74032943706618</v>
      </c>
      <c r="Z246" s="61">
        <v>0</v>
      </c>
      <c r="AA246" s="61">
        <f t="shared" si="329"/>
        <v>1269.456288966094</v>
      </c>
      <c r="AB246" s="61">
        <f t="shared" si="330"/>
        <v>253.89125779321884</v>
      </c>
      <c r="AC246" s="61">
        <v>1793.0960173170322</v>
      </c>
      <c r="AD246" s="61">
        <v>964.30311507552699</v>
      </c>
      <c r="AE246" s="61">
        <v>602.31300129639419</v>
      </c>
      <c r="AF246" s="61">
        <v>0</v>
      </c>
      <c r="AG246" s="61">
        <f t="shared" si="331"/>
        <v>350.36993575464192</v>
      </c>
      <c r="AH246" s="64"/>
      <c r="AI246" s="64"/>
      <c r="AJ246" s="365">
        <v>22</v>
      </c>
      <c r="AK246" s="372" t="s">
        <v>66</v>
      </c>
      <c r="AL246" s="365">
        <v>9135</v>
      </c>
      <c r="AM246" s="364" t="s">
        <v>365</v>
      </c>
      <c r="AN246" s="372" t="s">
        <v>366</v>
      </c>
      <c r="AO246" s="368">
        <f t="shared" si="340"/>
        <v>91400.852805558767</v>
      </c>
      <c r="AP246" s="368">
        <f t="shared" si="340"/>
        <v>30466.950935186258</v>
      </c>
      <c r="AQ246" s="368">
        <f>X246*12</f>
        <v>0</v>
      </c>
      <c r="AR246" s="368">
        <f>Y246*12</f>
        <v>6188.8839532447946</v>
      </c>
      <c r="AS246" s="368">
        <f>Z246*12</f>
        <v>0</v>
      </c>
      <c r="AT246" s="368">
        <f t="shared" si="342"/>
        <v>15233.475467593129</v>
      </c>
      <c r="AU246" s="368">
        <f t="shared" si="342"/>
        <v>3046.695093518626</v>
      </c>
      <c r="AV246" s="368">
        <f t="shared" si="342"/>
        <v>21517.152207804385</v>
      </c>
      <c r="AW246" s="368">
        <f t="shared" si="342"/>
        <v>11571.637380906324</v>
      </c>
      <c r="AX246" s="368">
        <f t="shared" si="342"/>
        <v>7227.7560155567298</v>
      </c>
      <c r="AY246" s="368">
        <f t="shared" si="342"/>
        <v>0</v>
      </c>
      <c r="AZ246" s="368">
        <f t="shared" si="342"/>
        <v>4204.4392290557025</v>
      </c>
      <c r="BB246" s="64"/>
      <c r="BC246" s="66"/>
      <c r="BD246" s="200"/>
      <c r="BE246" s="200"/>
    </row>
    <row r="247" spans="2:57" s="364" customFormat="1" ht="21" customHeight="1" x14ac:dyDescent="0.2">
      <c r="B247" s="365">
        <v>23</v>
      </c>
      <c r="C247" s="372" t="s">
        <v>66</v>
      </c>
      <c r="D247" s="365">
        <v>9089</v>
      </c>
      <c r="E247" s="201" t="s">
        <v>367</v>
      </c>
      <c r="F247" s="371" t="s">
        <v>368</v>
      </c>
      <c r="G247" s="55">
        <v>42380</v>
      </c>
      <c r="H247" s="56" t="str">
        <f t="shared" si="318"/>
        <v>8 AÑOS</v>
      </c>
      <c r="I247" s="57">
        <v>4894.4866299329215</v>
      </c>
      <c r="J247" s="58"/>
      <c r="K247" s="58"/>
      <c r="L247" s="59"/>
      <c r="M247" s="60">
        <v>4.0000000000000002E-4</v>
      </c>
      <c r="N247" s="61">
        <f t="shared" si="319"/>
        <v>195.77946519731685</v>
      </c>
      <c r="O247" s="58">
        <f t="shared" si="339"/>
        <v>5090.2660951302387</v>
      </c>
      <c r="P247" s="61">
        <f t="shared" si="321"/>
        <v>10180.532190260477</v>
      </c>
      <c r="Q247" s="61">
        <f t="shared" si="322"/>
        <v>7635.399142695358</v>
      </c>
      <c r="R247" s="61">
        <f t="shared" si="323"/>
        <v>2545.1330475651193</v>
      </c>
      <c r="S247" s="61">
        <f t="shared" si="324"/>
        <v>339.35107300868259</v>
      </c>
      <c r="T247" s="58">
        <f t="shared" si="325"/>
        <v>389.54109670666674</v>
      </c>
      <c r="U247" s="61">
        <f t="shared" si="326"/>
        <v>3817.699571347679</v>
      </c>
      <c r="V247" s="58">
        <f t="shared" si="327"/>
        <v>1272.5665237825597</v>
      </c>
      <c r="W247" s="101">
        <v>2.5000000000000001E-2</v>
      </c>
      <c r="X247" s="63">
        <f t="shared" si="328"/>
        <v>254.51330475651196</v>
      </c>
      <c r="Y247" s="61">
        <v>517.77069072525489</v>
      </c>
      <c r="Z247" s="61">
        <v>0</v>
      </c>
      <c r="AA247" s="61">
        <f t="shared" si="329"/>
        <v>1272.5665237825597</v>
      </c>
      <c r="AB247" s="61">
        <f t="shared" si="330"/>
        <v>254.51330475651196</v>
      </c>
      <c r="AC247" s="61">
        <v>1796.1455868399037</v>
      </c>
      <c r="AD247" s="61">
        <v>966.66570853242888</v>
      </c>
      <c r="AE247" s="61">
        <v>603.78869989533348</v>
      </c>
      <c r="AF247" s="61">
        <v>0</v>
      </c>
      <c r="AG247" s="61">
        <f t="shared" si="331"/>
        <v>351.22836056398648</v>
      </c>
      <c r="AH247" s="64"/>
      <c r="AI247" s="64"/>
      <c r="AJ247" s="365">
        <v>23</v>
      </c>
      <c r="AK247" s="372" t="s">
        <v>66</v>
      </c>
      <c r="AL247" s="365">
        <v>9089</v>
      </c>
      <c r="AM247" s="201" t="s">
        <v>367</v>
      </c>
      <c r="AN247" s="371" t="s">
        <v>368</v>
      </c>
      <c r="AO247" s="401">
        <f t="shared" si="340"/>
        <v>91624.789712344296</v>
      </c>
      <c r="AP247" s="368">
        <f t="shared" si="340"/>
        <v>30541.596570781432</v>
      </c>
      <c r="AQ247" s="368">
        <f>X247*12</f>
        <v>3054.1596570781435</v>
      </c>
      <c r="AR247" s="368">
        <f>Y247*12</f>
        <v>6213.2482887030583</v>
      </c>
      <c r="AS247" s="368">
        <f>Z247*12</f>
        <v>0</v>
      </c>
      <c r="AT247" s="368">
        <f t="shared" si="342"/>
        <v>15270.798285390716</v>
      </c>
      <c r="AU247" s="368">
        <f t="shared" si="342"/>
        <v>3054.1596570781435</v>
      </c>
      <c r="AV247" s="368">
        <f t="shared" si="342"/>
        <v>21553.747042078845</v>
      </c>
      <c r="AW247" s="368">
        <f t="shared" si="342"/>
        <v>11599.988502389147</v>
      </c>
      <c r="AX247" s="368">
        <f t="shared" si="342"/>
        <v>7245.4643987440013</v>
      </c>
      <c r="AY247" s="368">
        <f t="shared" si="342"/>
        <v>0</v>
      </c>
      <c r="AZ247" s="368">
        <f t="shared" si="342"/>
        <v>4214.7403267678383</v>
      </c>
      <c r="BB247" s="64"/>
      <c r="BC247" s="66"/>
      <c r="BD247" s="66"/>
      <c r="BE247" s="66"/>
    </row>
    <row r="248" spans="2:57" s="364" customFormat="1" ht="21" customHeight="1" x14ac:dyDescent="0.2">
      <c r="B248" s="365">
        <v>24</v>
      </c>
      <c r="C248" s="372" t="s">
        <v>66</v>
      </c>
      <c r="D248" s="365">
        <v>12051</v>
      </c>
      <c r="E248" s="371" t="s">
        <v>369</v>
      </c>
      <c r="F248" s="371" t="s">
        <v>368</v>
      </c>
      <c r="G248" s="55">
        <v>39615</v>
      </c>
      <c r="H248" s="55" t="str">
        <f t="shared" si="318"/>
        <v>16 AÑOS</v>
      </c>
      <c r="I248" s="57">
        <v>4894.4866299329215</v>
      </c>
      <c r="J248" s="57"/>
      <c r="K248" s="57"/>
      <c r="L248" s="74"/>
      <c r="M248" s="171">
        <v>4.0000000000000002E-4</v>
      </c>
      <c r="N248" s="81">
        <f t="shared" si="319"/>
        <v>195.77946519731685</v>
      </c>
      <c r="O248" s="57">
        <f t="shared" si="339"/>
        <v>5090.2660951302387</v>
      </c>
      <c r="P248" s="81">
        <f t="shared" si="321"/>
        <v>10180.532190260477</v>
      </c>
      <c r="Q248" s="81">
        <f t="shared" si="322"/>
        <v>7635.399142695358</v>
      </c>
      <c r="R248" s="81">
        <f t="shared" si="323"/>
        <v>2545.1330475651193</v>
      </c>
      <c r="S248" s="81">
        <f t="shared" si="324"/>
        <v>339.35107300868259</v>
      </c>
      <c r="T248" s="57">
        <f t="shared" si="325"/>
        <v>389.54109670666674</v>
      </c>
      <c r="U248" s="81">
        <f t="shared" si="326"/>
        <v>3817.699571347679</v>
      </c>
      <c r="V248" s="57">
        <f t="shared" si="327"/>
        <v>1272.5665237825597</v>
      </c>
      <c r="W248" s="101">
        <v>7.4999999999999997E-2</v>
      </c>
      <c r="X248" s="158">
        <f t="shared" si="328"/>
        <v>763.53991426953576</v>
      </c>
      <c r="Y248" s="81">
        <v>517.77069072525489</v>
      </c>
      <c r="Z248" s="81">
        <v>0</v>
      </c>
      <c r="AA248" s="81">
        <f t="shared" si="329"/>
        <v>1272.5665237825597</v>
      </c>
      <c r="AB248" s="81">
        <f t="shared" si="330"/>
        <v>254.51330475651196</v>
      </c>
      <c r="AC248" s="81">
        <v>1796.1455868399037</v>
      </c>
      <c r="AD248" s="81">
        <v>966.66570853242888</v>
      </c>
      <c r="AE248" s="81">
        <v>603.78869989533348</v>
      </c>
      <c r="AF248" s="81">
        <v>0</v>
      </c>
      <c r="AG248" s="81">
        <f t="shared" si="331"/>
        <v>351.22836056398648</v>
      </c>
      <c r="AH248" s="64"/>
      <c r="AI248" s="64"/>
      <c r="AJ248" s="365">
        <v>24</v>
      </c>
      <c r="AK248" s="372" t="s">
        <v>66</v>
      </c>
      <c r="AL248" s="365">
        <v>12051</v>
      </c>
      <c r="AM248" s="371" t="s">
        <v>369</v>
      </c>
      <c r="AN248" s="371" t="s">
        <v>368</v>
      </c>
      <c r="AO248" s="395">
        <f t="shared" si="340"/>
        <v>91624.789712344296</v>
      </c>
      <c r="AP248" s="395">
        <f t="shared" si="340"/>
        <v>30541.596570781432</v>
      </c>
      <c r="AQ248" s="395">
        <f>X248*12</f>
        <v>9162.4789712344282</v>
      </c>
      <c r="AR248" s="395">
        <f>Y248*12</f>
        <v>6213.2482887030583</v>
      </c>
      <c r="AS248" s="395">
        <f>Z248*12</f>
        <v>0</v>
      </c>
      <c r="AT248" s="395">
        <f t="shared" si="342"/>
        <v>15270.798285390716</v>
      </c>
      <c r="AU248" s="395">
        <f t="shared" si="342"/>
        <v>3054.1596570781435</v>
      </c>
      <c r="AV248" s="395">
        <f t="shared" si="342"/>
        <v>21553.747042078845</v>
      </c>
      <c r="AW248" s="395">
        <f t="shared" si="342"/>
        <v>11599.988502389147</v>
      </c>
      <c r="AX248" s="395">
        <f t="shared" si="342"/>
        <v>7245.4643987440013</v>
      </c>
      <c r="AY248" s="395">
        <f t="shared" si="342"/>
        <v>0</v>
      </c>
      <c r="AZ248" s="395">
        <f t="shared" si="342"/>
        <v>4214.7403267678383</v>
      </c>
      <c r="BB248" s="64"/>
      <c r="BC248" s="66"/>
      <c r="BD248" s="66"/>
      <c r="BE248" s="66"/>
    </row>
    <row r="249" spans="2:57" s="364" customFormat="1" ht="21" customHeight="1" x14ac:dyDescent="0.2">
      <c r="B249" s="365">
        <v>25</v>
      </c>
      <c r="C249" s="372" t="s">
        <v>66</v>
      </c>
      <c r="D249" s="365">
        <v>16548</v>
      </c>
      <c r="E249" s="372" t="s">
        <v>370</v>
      </c>
      <c r="F249" s="378" t="s">
        <v>371</v>
      </c>
      <c r="G249" s="384">
        <v>43862</v>
      </c>
      <c r="H249" s="55" t="str">
        <f t="shared" si="318"/>
        <v>4 AÑOS</v>
      </c>
      <c r="I249" s="57">
        <v>4913.376968141848</v>
      </c>
      <c r="J249" s="57">
        <v>5984.31</v>
      </c>
      <c r="K249" s="108">
        <f>J249-I249</f>
        <v>1070.9330318581524</v>
      </c>
      <c r="L249" s="109">
        <f>K249*100/I249</f>
        <v>21.796272478216956</v>
      </c>
      <c r="M249" s="171">
        <v>2.1800000000000001E-3</v>
      </c>
      <c r="N249" s="81">
        <f>I249*0.2179</f>
        <v>1070.6248413581088</v>
      </c>
      <c r="O249" s="57">
        <f t="shared" si="339"/>
        <v>5984.0018094999568</v>
      </c>
      <c r="P249" s="81">
        <f t="shared" si="321"/>
        <v>11968.003618999914</v>
      </c>
      <c r="Q249" s="81">
        <f t="shared" si="322"/>
        <v>8976.0027142499348</v>
      </c>
      <c r="R249" s="81">
        <f t="shared" si="323"/>
        <v>2992.0009047499784</v>
      </c>
      <c r="S249" s="81">
        <f t="shared" si="324"/>
        <v>398.93345396666376</v>
      </c>
      <c r="T249" s="57">
        <f t="shared" si="325"/>
        <v>457.93571180833328</v>
      </c>
      <c r="U249" s="81">
        <f t="shared" si="326"/>
        <v>4488.0013571249674</v>
      </c>
      <c r="V249" s="57">
        <f t="shared" si="327"/>
        <v>1496.0004523749892</v>
      </c>
      <c r="W249" s="101">
        <v>0</v>
      </c>
      <c r="X249" s="158">
        <f t="shared" si="328"/>
        <v>0</v>
      </c>
      <c r="Y249" s="81">
        <v>663.67865599999993</v>
      </c>
      <c r="Z249" s="81">
        <v>0</v>
      </c>
      <c r="AA249" s="81">
        <f t="shared" si="329"/>
        <v>1496.0004523749892</v>
      </c>
      <c r="AB249" s="81">
        <f t="shared" si="330"/>
        <v>299.20009047499781</v>
      </c>
      <c r="AC249" s="81">
        <v>2015.2214249096633</v>
      </c>
      <c r="AD249" s="81">
        <v>1200.2723974352318</v>
      </c>
      <c r="AE249" s="81">
        <v>709.80035330291662</v>
      </c>
      <c r="AF249" s="81">
        <v>0</v>
      </c>
      <c r="AG249" s="81">
        <f t="shared" si="331"/>
        <v>412.89612485549702</v>
      </c>
      <c r="AH249" s="64"/>
      <c r="AI249" s="64"/>
      <c r="AJ249" s="365">
        <v>25</v>
      </c>
      <c r="AK249" s="372" t="s">
        <v>66</v>
      </c>
      <c r="AL249" s="365">
        <v>16548</v>
      </c>
      <c r="AM249" s="372" t="s">
        <v>370</v>
      </c>
      <c r="AN249" s="378" t="s">
        <v>371</v>
      </c>
      <c r="AO249" s="368">
        <f t="shared" ref="AO249:AP249" si="343">Q249*3</f>
        <v>26928.008142749804</v>
      </c>
      <c r="AP249" s="368">
        <f t="shared" si="343"/>
        <v>8976.0027142499348</v>
      </c>
      <c r="AQ249" s="368">
        <f t="shared" ref="AQ249:AZ249" si="344">X249*3</f>
        <v>0</v>
      </c>
      <c r="AR249" s="368">
        <f t="shared" si="344"/>
        <v>1991.0359679999997</v>
      </c>
      <c r="AS249" s="368">
        <f t="shared" si="344"/>
        <v>0</v>
      </c>
      <c r="AT249" s="368">
        <f t="shared" si="344"/>
        <v>4488.0013571249674</v>
      </c>
      <c r="AU249" s="368">
        <f t="shared" si="344"/>
        <v>897.60027142499348</v>
      </c>
      <c r="AV249" s="368">
        <f t="shared" si="344"/>
        <v>6045.6642747289898</v>
      </c>
      <c r="AW249" s="368">
        <f t="shared" si="344"/>
        <v>3600.8171923056952</v>
      </c>
      <c r="AX249" s="368">
        <f t="shared" si="344"/>
        <v>2129.4010599087496</v>
      </c>
      <c r="AY249" s="368">
        <f t="shared" si="344"/>
        <v>0</v>
      </c>
      <c r="AZ249" s="368">
        <f t="shared" si="344"/>
        <v>1238.6883745664911</v>
      </c>
      <c r="BB249" s="64"/>
      <c r="BC249" s="66"/>
      <c r="BD249" s="66"/>
      <c r="BE249" s="66"/>
    </row>
    <row r="250" spans="2:57" s="364" customFormat="1" ht="21" customHeight="1" x14ac:dyDescent="0.2">
      <c r="B250" s="365">
        <v>26</v>
      </c>
      <c r="C250" s="372" t="s">
        <v>66</v>
      </c>
      <c r="D250" s="365">
        <v>5106</v>
      </c>
      <c r="E250" s="69" t="s">
        <v>372</v>
      </c>
      <c r="F250" s="405" t="s">
        <v>373</v>
      </c>
      <c r="G250" s="55">
        <v>43427</v>
      </c>
      <c r="H250" s="56" t="str">
        <f t="shared" si="318"/>
        <v>6 AÑOS</v>
      </c>
      <c r="I250" s="81">
        <v>6060.0204974237013</v>
      </c>
      <c r="J250" s="61"/>
      <c r="K250" s="108"/>
      <c r="L250" s="109"/>
      <c r="M250" s="60">
        <v>4.0000000000000002E-4</v>
      </c>
      <c r="N250" s="61">
        <f t="shared" si="319"/>
        <v>242.40081989694806</v>
      </c>
      <c r="O250" s="61">
        <f t="shared" si="339"/>
        <v>6302.421317320649</v>
      </c>
      <c r="P250" s="61">
        <f t="shared" si="321"/>
        <v>12604.842634641298</v>
      </c>
      <c r="Q250" s="61">
        <f t="shared" si="322"/>
        <v>9453.6319759809739</v>
      </c>
      <c r="R250" s="61">
        <f t="shared" si="323"/>
        <v>3151.2106586603245</v>
      </c>
      <c r="S250" s="61">
        <f t="shared" si="324"/>
        <v>420.16142115470996</v>
      </c>
      <c r="T250" s="61">
        <f t="shared" si="325"/>
        <v>482.30329534349153</v>
      </c>
      <c r="U250" s="61">
        <f t="shared" si="326"/>
        <v>4726.815987990487</v>
      </c>
      <c r="V250" s="61">
        <f t="shared" si="327"/>
        <v>1575.6053293301622</v>
      </c>
      <c r="W250" s="101">
        <v>2.5000000000000001E-2</v>
      </c>
      <c r="X250" s="63">
        <f t="shared" si="328"/>
        <v>315.1210658660325</v>
      </c>
      <c r="Y250" s="203">
        <v>715.59442298672991</v>
      </c>
      <c r="Z250" s="61">
        <v>0</v>
      </c>
      <c r="AA250" s="61">
        <f t="shared" si="329"/>
        <v>1575.6053293301622</v>
      </c>
      <c r="AB250" s="61">
        <f t="shared" si="330"/>
        <v>315.12106586603244</v>
      </c>
      <c r="AC250" s="185">
        <v>2093.2736045551565</v>
      </c>
      <c r="AD250" s="185">
        <v>1264.1410522600584</v>
      </c>
      <c r="AE250" s="185">
        <v>747.57010778241192</v>
      </c>
      <c r="AF250" s="61">
        <v>0</v>
      </c>
      <c r="AG250" s="61">
        <f t="shared" si="331"/>
        <v>434.86707089512481</v>
      </c>
      <c r="AH250" s="64"/>
      <c r="AI250" s="64"/>
      <c r="AJ250" s="365">
        <v>26</v>
      </c>
      <c r="AK250" s="372" t="s">
        <v>66</v>
      </c>
      <c r="AL250" s="365">
        <v>5106</v>
      </c>
      <c r="AM250" s="69" t="s">
        <v>372</v>
      </c>
      <c r="AN250" s="405" t="s">
        <v>373</v>
      </c>
      <c r="AO250" s="401">
        <f t="shared" ref="AO250:AP253" si="345">Q250*12</f>
        <v>113443.58371177169</v>
      </c>
      <c r="AP250" s="368">
        <f t="shared" si="345"/>
        <v>37814.527903923896</v>
      </c>
      <c r="AQ250" s="368">
        <f t="shared" ref="AQ250:AS253" si="346">X250*12</f>
        <v>3781.4527903923899</v>
      </c>
      <c r="AR250" s="368">
        <f t="shared" si="346"/>
        <v>8587.1330758407585</v>
      </c>
      <c r="AS250" s="368">
        <f t="shared" si="346"/>
        <v>0</v>
      </c>
      <c r="AT250" s="368">
        <f t="shared" ref="AT250:AZ253" si="347">AA250*12</f>
        <v>18907.263951961948</v>
      </c>
      <c r="AU250" s="368">
        <f t="shared" si="347"/>
        <v>3781.452790392389</v>
      </c>
      <c r="AV250" s="368">
        <f t="shared" si="347"/>
        <v>25119.283254661877</v>
      </c>
      <c r="AW250" s="368">
        <f t="shared" si="347"/>
        <v>15169.692627120701</v>
      </c>
      <c r="AX250" s="368">
        <f t="shared" si="347"/>
        <v>8970.8412933889431</v>
      </c>
      <c r="AY250" s="368">
        <f t="shared" si="347"/>
        <v>0</v>
      </c>
      <c r="AZ250" s="368">
        <f t="shared" si="347"/>
        <v>5218.4048507414973</v>
      </c>
      <c r="BB250" s="64"/>
      <c r="BC250" s="66"/>
      <c r="BD250" s="66"/>
      <c r="BE250" s="66"/>
    </row>
    <row r="251" spans="2:57" s="364" customFormat="1" ht="21" customHeight="1" x14ac:dyDescent="0.2">
      <c r="B251" s="365">
        <v>27</v>
      </c>
      <c r="C251" s="372" t="s">
        <v>66</v>
      </c>
      <c r="D251" s="365">
        <v>13289</v>
      </c>
      <c r="E251" s="372" t="s">
        <v>374</v>
      </c>
      <c r="F251" s="405" t="s">
        <v>375</v>
      </c>
      <c r="G251" s="55">
        <v>42125</v>
      </c>
      <c r="H251" s="56" t="str">
        <f t="shared" si="318"/>
        <v>9 AÑOS</v>
      </c>
      <c r="I251" s="57">
        <v>5451.3147680251805</v>
      </c>
      <c r="J251" s="58"/>
      <c r="K251" s="172"/>
      <c r="L251" s="173"/>
      <c r="M251" s="60">
        <v>4.0000000000000002E-4</v>
      </c>
      <c r="N251" s="61">
        <f t="shared" si="319"/>
        <v>218.05259072100722</v>
      </c>
      <c r="O251" s="58">
        <f t="shared" si="339"/>
        <v>5669.3673587461881</v>
      </c>
      <c r="P251" s="61">
        <f t="shared" si="321"/>
        <v>11338.734717492376</v>
      </c>
      <c r="Q251" s="61">
        <f t="shared" si="322"/>
        <v>8504.0510381192817</v>
      </c>
      <c r="R251" s="61">
        <f t="shared" si="323"/>
        <v>2834.683679373094</v>
      </c>
      <c r="S251" s="61">
        <f t="shared" si="324"/>
        <v>377.95782391641256</v>
      </c>
      <c r="T251" s="58">
        <f t="shared" si="325"/>
        <v>433.85778607364995</v>
      </c>
      <c r="U251" s="61">
        <f t="shared" si="326"/>
        <v>4252.0255190596408</v>
      </c>
      <c r="V251" s="58">
        <f t="shared" si="327"/>
        <v>1417.341839686547</v>
      </c>
      <c r="W251" s="101">
        <v>2.5000000000000001E-2</v>
      </c>
      <c r="X251" s="63">
        <f t="shared" si="328"/>
        <v>283.46836793730944</v>
      </c>
      <c r="Y251" s="203">
        <v>612.28001694737782</v>
      </c>
      <c r="Z251" s="61">
        <v>0</v>
      </c>
      <c r="AA251" s="61">
        <f t="shared" si="329"/>
        <v>1417.3418396865472</v>
      </c>
      <c r="AB251" s="61">
        <f t="shared" si="330"/>
        <v>283.46836793730944</v>
      </c>
      <c r="AC251" s="185">
        <v>1938.097052596635</v>
      </c>
      <c r="AD251" s="185">
        <v>1137.1629501883403</v>
      </c>
      <c r="AE251" s="185">
        <v>672.47956841415748</v>
      </c>
      <c r="AF251" s="61">
        <v>0</v>
      </c>
      <c r="AG251" s="61">
        <f t="shared" si="331"/>
        <v>391.18634775348698</v>
      </c>
      <c r="AH251" s="64"/>
      <c r="AI251" s="64"/>
      <c r="AJ251" s="365">
        <v>27</v>
      </c>
      <c r="AK251" s="372" t="s">
        <v>66</v>
      </c>
      <c r="AL251" s="365">
        <v>13289</v>
      </c>
      <c r="AM251" s="372" t="s">
        <v>374</v>
      </c>
      <c r="AN251" s="405" t="s">
        <v>375</v>
      </c>
      <c r="AO251" s="401">
        <f t="shared" si="345"/>
        <v>102048.61245743139</v>
      </c>
      <c r="AP251" s="368">
        <f t="shared" si="345"/>
        <v>34016.204152477127</v>
      </c>
      <c r="AQ251" s="368">
        <f t="shared" si="346"/>
        <v>3401.620415247713</v>
      </c>
      <c r="AR251" s="368">
        <f t="shared" si="346"/>
        <v>7347.3602033685338</v>
      </c>
      <c r="AS251" s="368">
        <f t="shared" si="346"/>
        <v>0</v>
      </c>
      <c r="AT251" s="368">
        <f t="shared" si="347"/>
        <v>17008.102076238567</v>
      </c>
      <c r="AU251" s="368">
        <f t="shared" si="347"/>
        <v>3401.620415247713</v>
      </c>
      <c r="AV251" s="368">
        <f t="shared" si="347"/>
        <v>23257.16463115962</v>
      </c>
      <c r="AW251" s="368">
        <f t="shared" si="347"/>
        <v>13645.955402260084</v>
      </c>
      <c r="AX251" s="368">
        <f t="shared" si="347"/>
        <v>8069.7548209698898</v>
      </c>
      <c r="AY251" s="368">
        <f t="shared" si="347"/>
        <v>0</v>
      </c>
      <c r="AZ251" s="368">
        <f t="shared" si="347"/>
        <v>4694.2361730418434</v>
      </c>
      <c r="BB251" s="64"/>
      <c r="BC251" s="66"/>
      <c r="BD251" s="66"/>
      <c r="BE251" s="66"/>
    </row>
    <row r="252" spans="2:57" s="364" customFormat="1" ht="21" customHeight="1" x14ac:dyDescent="0.2">
      <c r="B252" s="365">
        <v>28</v>
      </c>
      <c r="C252" s="372" t="s">
        <v>66</v>
      </c>
      <c r="D252" s="365">
        <v>1078</v>
      </c>
      <c r="E252" s="204" t="s">
        <v>376</v>
      </c>
      <c r="F252" s="405" t="s">
        <v>377</v>
      </c>
      <c r="G252" s="55">
        <v>42567</v>
      </c>
      <c r="H252" s="56" t="str">
        <f t="shared" si="318"/>
        <v>8 AÑOS</v>
      </c>
      <c r="I252" s="57">
        <v>4915.3098968063996</v>
      </c>
      <c r="J252" s="58"/>
      <c r="K252" s="172"/>
      <c r="L252" s="173"/>
      <c r="M252" s="60">
        <v>4.0000000000000002E-4</v>
      </c>
      <c r="N252" s="61">
        <f t="shared" si="319"/>
        <v>196.612395872256</v>
      </c>
      <c r="O252" s="58">
        <f t="shared" si="339"/>
        <v>5111.9222926786551</v>
      </c>
      <c r="P252" s="61">
        <f t="shared" si="321"/>
        <v>10223.84458535731</v>
      </c>
      <c r="Q252" s="61">
        <f t="shared" si="322"/>
        <v>7667.8834390179827</v>
      </c>
      <c r="R252" s="61">
        <f t="shared" si="323"/>
        <v>2555.9611463393276</v>
      </c>
      <c r="S252" s="61">
        <f t="shared" si="324"/>
        <v>340.79481951191036</v>
      </c>
      <c r="T252" s="58">
        <f t="shared" si="325"/>
        <v>391.19837331772186</v>
      </c>
      <c r="U252" s="61">
        <f t="shared" si="326"/>
        <v>3833.9417195089914</v>
      </c>
      <c r="V252" s="58">
        <f t="shared" si="327"/>
        <v>1277.9805731696638</v>
      </c>
      <c r="W252" s="101">
        <v>2.5000000000000001E-2</v>
      </c>
      <c r="X252" s="63">
        <f t="shared" si="328"/>
        <v>255.59611463393276</v>
      </c>
      <c r="Y252" s="203">
        <v>521.30498216515639</v>
      </c>
      <c r="Z252" s="61">
        <v>0</v>
      </c>
      <c r="AA252" s="61">
        <f t="shared" si="329"/>
        <v>1277.9805731696638</v>
      </c>
      <c r="AB252" s="61">
        <f t="shared" si="330"/>
        <v>255.59611463393279</v>
      </c>
      <c r="AC252" s="185">
        <v>1801.4540349091067</v>
      </c>
      <c r="AD252" s="185">
        <v>970.77832330659271</v>
      </c>
      <c r="AE252" s="185">
        <v>606.35747864246889</v>
      </c>
      <c r="AF252" s="61">
        <v>0</v>
      </c>
      <c r="AG252" s="61">
        <f t="shared" si="331"/>
        <v>352.72263819482714</v>
      </c>
      <c r="AH252" s="64"/>
      <c r="AI252" s="64"/>
      <c r="AJ252" s="365">
        <v>28</v>
      </c>
      <c r="AK252" s="372" t="s">
        <v>66</v>
      </c>
      <c r="AL252" s="365">
        <v>1078</v>
      </c>
      <c r="AM252" s="204" t="s">
        <v>376</v>
      </c>
      <c r="AN252" s="405" t="s">
        <v>377</v>
      </c>
      <c r="AO252" s="401">
        <f t="shared" si="345"/>
        <v>92014.601268215789</v>
      </c>
      <c r="AP252" s="368">
        <f t="shared" si="345"/>
        <v>30671.533756071931</v>
      </c>
      <c r="AQ252" s="368">
        <f t="shared" si="346"/>
        <v>3067.1533756071931</v>
      </c>
      <c r="AR252" s="368">
        <f t="shared" si="346"/>
        <v>6255.6597859818767</v>
      </c>
      <c r="AS252" s="368">
        <f t="shared" si="346"/>
        <v>0</v>
      </c>
      <c r="AT252" s="368">
        <f t="shared" si="347"/>
        <v>15335.766878035965</v>
      </c>
      <c r="AU252" s="368">
        <f t="shared" si="347"/>
        <v>3067.1533756071935</v>
      </c>
      <c r="AV252" s="368">
        <f t="shared" si="347"/>
        <v>21617.44841890928</v>
      </c>
      <c r="AW252" s="368">
        <f t="shared" si="347"/>
        <v>11649.339879679112</v>
      </c>
      <c r="AX252" s="368">
        <f t="shared" si="347"/>
        <v>7276.2897437096271</v>
      </c>
      <c r="AY252" s="368">
        <f t="shared" si="347"/>
        <v>0</v>
      </c>
      <c r="AZ252" s="368">
        <f t="shared" si="347"/>
        <v>4232.6716583379257</v>
      </c>
      <c r="BB252" s="64"/>
      <c r="BC252" s="66"/>
      <c r="BD252" s="66"/>
      <c r="BE252" s="66"/>
    </row>
    <row r="253" spans="2:57" s="364" customFormat="1" ht="21" customHeight="1" x14ac:dyDescent="0.2">
      <c r="B253" s="365">
        <v>29</v>
      </c>
      <c r="C253" s="372" t="s">
        <v>66</v>
      </c>
      <c r="D253" s="365"/>
      <c r="E253" s="375" t="s">
        <v>55</v>
      </c>
      <c r="F253" s="405" t="s">
        <v>378</v>
      </c>
      <c r="G253" s="100"/>
      <c r="H253" s="56"/>
      <c r="I253" s="57">
        <v>3645.8352743228638</v>
      </c>
      <c r="J253" s="58"/>
      <c r="K253" s="108"/>
      <c r="L253" s="173"/>
      <c r="M253" s="60">
        <v>4.0210000000000003E-3</v>
      </c>
      <c r="N253" s="61">
        <f t="shared" si="319"/>
        <v>145.83341097291455</v>
      </c>
      <c r="O253" s="58">
        <f>I253+N253</f>
        <v>3791.6686852957782</v>
      </c>
      <c r="P253" s="61">
        <f>O253*2</f>
        <v>7583.3373705915565</v>
      </c>
      <c r="Q253" s="61">
        <f>P253*0.75</f>
        <v>5687.5030279436669</v>
      </c>
      <c r="R253" s="61">
        <f>P253*0.25</f>
        <v>1895.8343426478891</v>
      </c>
      <c r="S253" s="61">
        <f>(P253/30)</f>
        <v>252.77791235305187</v>
      </c>
      <c r="T253" s="58">
        <f>S253*1.1479</f>
        <v>290.16376559006824</v>
      </c>
      <c r="U253" s="61">
        <f>O253*0.75</f>
        <v>2843.7515139718334</v>
      </c>
      <c r="V253" s="58">
        <f>O253*0.25</f>
        <v>947.91717132394456</v>
      </c>
      <c r="W253" s="101">
        <v>0</v>
      </c>
      <c r="X253" s="63">
        <f>P253*W253</f>
        <v>0</v>
      </c>
      <c r="Y253" s="203">
        <v>40.28</v>
      </c>
      <c r="Z253" s="61">
        <v>0</v>
      </c>
      <c r="AA253" s="61">
        <f>(S253*45)/12</f>
        <v>947.91717132394444</v>
      </c>
      <c r="AB253" s="61">
        <f>(S253*10)*(0.45*2)/12</f>
        <v>189.58343426478891</v>
      </c>
      <c r="AC253" s="185">
        <v>1498.1100860677793</v>
      </c>
      <c r="AD253" s="185">
        <v>693.97016997348658</v>
      </c>
      <c r="AE253" s="185">
        <v>449.75383666460579</v>
      </c>
      <c r="AF253" s="61">
        <v>0</v>
      </c>
      <c r="AG253" s="61">
        <f>(P253+AA253+AB253)*0.03</f>
        <v>261.62513928540869</v>
      </c>
      <c r="AH253" s="64"/>
      <c r="AI253" s="64"/>
      <c r="AJ253" s="365">
        <v>29</v>
      </c>
      <c r="AK253" s="372" t="s">
        <v>66</v>
      </c>
      <c r="AL253" s="365"/>
      <c r="AM253" s="375" t="s">
        <v>55</v>
      </c>
      <c r="AN253" s="405" t="s">
        <v>378</v>
      </c>
      <c r="AO253" s="401">
        <f t="shared" si="345"/>
        <v>68250.036335323995</v>
      </c>
      <c r="AP253" s="368">
        <f t="shared" si="345"/>
        <v>22750.012111774668</v>
      </c>
      <c r="AQ253" s="368">
        <f t="shared" si="346"/>
        <v>0</v>
      </c>
      <c r="AR253" s="368">
        <f t="shared" si="346"/>
        <v>483.36</v>
      </c>
      <c r="AS253" s="368">
        <f t="shared" si="346"/>
        <v>0</v>
      </c>
      <c r="AT253" s="368">
        <f t="shared" si="347"/>
        <v>11375.006055887334</v>
      </c>
      <c r="AU253" s="368">
        <f t="shared" si="347"/>
        <v>2275.0012111774668</v>
      </c>
      <c r="AV253" s="368">
        <f t="shared" si="347"/>
        <v>17977.32103281335</v>
      </c>
      <c r="AW253" s="368">
        <f t="shared" si="347"/>
        <v>8327.6420396818394</v>
      </c>
      <c r="AX253" s="368">
        <f t="shared" si="347"/>
        <v>5397.0460399752692</v>
      </c>
      <c r="AY253" s="368">
        <f t="shared" si="347"/>
        <v>0</v>
      </c>
      <c r="AZ253" s="368">
        <f t="shared" si="347"/>
        <v>3139.5016714249041</v>
      </c>
      <c r="BA253" s="406"/>
      <c r="BB253" s="183"/>
      <c r="BC253" s="184"/>
      <c r="BD253" s="184"/>
      <c r="BE253" s="184"/>
    </row>
    <row r="254" spans="2:57" s="364" customFormat="1" ht="21" customHeight="1" x14ac:dyDescent="0.2">
      <c r="B254" s="365">
        <v>30</v>
      </c>
      <c r="C254" s="372" t="s">
        <v>66</v>
      </c>
      <c r="D254" s="377">
        <v>9129</v>
      </c>
      <c r="E254" s="372" t="s">
        <v>379</v>
      </c>
      <c r="F254" s="372" t="s">
        <v>380</v>
      </c>
      <c r="G254" s="55">
        <v>44287</v>
      </c>
      <c r="H254" s="56" t="str">
        <f t="shared" si="318"/>
        <v>3 AÑOS</v>
      </c>
      <c r="I254" s="57">
        <v>5044.4649078217699</v>
      </c>
      <c r="J254" s="58"/>
      <c r="K254" s="57"/>
      <c r="L254" s="59"/>
      <c r="M254" s="60">
        <v>4.0000000000000002E-4</v>
      </c>
      <c r="N254" s="61">
        <f t="shared" si="319"/>
        <v>201.7785963128708</v>
      </c>
      <c r="O254" s="58">
        <f t="shared" si="339"/>
        <v>5246.2435041346407</v>
      </c>
      <c r="P254" s="61">
        <f t="shared" si="321"/>
        <v>10492.487008269281</v>
      </c>
      <c r="Q254" s="61">
        <f t="shared" si="322"/>
        <v>7869.3652562019615</v>
      </c>
      <c r="R254" s="61">
        <f t="shared" si="323"/>
        <v>2623.1217520673204</v>
      </c>
      <c r="S254" s="61">
        <f t="shared" si="324"/>
        <v>349.7495669423094</v>
      </c>
      <c r="T254" s="58">
        <f t="shared" si="325"/>
        <v>401.47752789307691</v>
      </c>
      <c r="U254" s="61">
        <f t="shared" si="326"/>
        <v>3934.6826281009808</v>
      </c>
      <c r="V254" s="58">
        <f t="shared" si="327"/>
        <v>1311.5608760336602</v>
      </c>
      <c r="W254" s="101">
        <v>0</v>
      </c>
      <c r="X254" s="63">
        <f t="shared" si="328"/>
        <v>0</v>
      </c>
      <c r="Y254" s="61">
        <v>543.22620387477332</v>
      </c>
      <c r="Z254" s="61">
        <v>0</v>
      </c>
      <c r="AA254" s="61">
        <f t="shared" si="329"/>
        <v>1311.5608760336602</v>
      </c>
      <c r="AB254" s="61">
        <f t="shared" si="330"/>
        <v>262.31217520673209</v>
      </c>
      <c r="AC254" s="61">
        <v>1834.3793522004914</v>
      </c>
      <c r="AD254" s="61">
        <v>996.28655934306505</v>
      </c>
      <c r="AE254" s="61">
        <v>622.29016823426923</v>
      </c>
      <c r="AF254" s="61">
        <v>0</v>
      </c>
      <c r="AG254" s="61">
        <f t="shared" si="331"/>
        <v>361.99080178529022</v>
      </c>
      <c r="AH254" s="64"/>
      <c r="AI254" s="64"/>
      <c r="AJ254" s="365">
        <v>30</v>
      </c>
      <c r="AK254" s="372" t="s">
        <v>66</v>
      </c>
      <c r="AL254" s="377">
        <v>9129</v>
      </c>
      <c r="AM254" s="372" t="s">
        <v>379</v>
      </c>
      <c r="AN254" s="372" t="s">
        <v>380</v>
      </c>
      <c r="AO254" s="368">
        <f>Q254*11.5</f>
        <v>90497.70044632256</v>
      </c>
      <c r="AP254" s="368">
        <f>R254*11.5</f>
        <v>30165.900148774184</v>
      </c>
      <c r="AQ254" s="368">
        <f t="shared" ref="AQ254:AZ254" si="348">X254*11.5</f>
        <v>0</v>
      </c>
      <c r="AR254" s="368">
        <f t="shared" si="348"/>
        <v>6247.1013445598928</v>
      </c>
      <c r="AS254" s="368">
        <f t="shared" si="348"/>
        <v>0</v>
      </c>
      <c r="AT254" s="368">
        <f t="shared" si="348"/>
        <v>15082.950074387092</v>
      </c>
      <c r="AU254" s="368">
        <f t="shared" si="348"/>
        <v>3016.590014877419</v>
      </c>
      <c r="AV254" s="368">
        <f t="shared" si="348"/>
        <v>21095.36255030565</v>
      </c>
      <c r="AW254" s="368">
        <f t="shared" si="348"/>
        <v>11457.295432445248</v>
      </c>
      <c r="AX254" s="368">
        <f t="shared" si="348"/>
        <v>7156.3369346940963</v>
      </c>
      <c r="AY254" s="368">
        <f t="shared" si="348"/>
        <v>0</v>
      </c>
      <c r="AZ254" s="368">
        <f t="shared" si="348"/>
        <v>4162.8942205308376</v>
      </c>
      <c r="BB254" s="64"/>
      <c r="BC254" s="66"/>
      <c r="BD254" s="66"/>
      <c r="BE254" s="66"/>
    </row>
    <row r="255" spans="2:57" s="364" customFormat="1" ht="21" customHeight="1" x14ac:dyDescent="0.2">
      <c r="B255" s="365">
        <v>31</v>
      </c>
      <c r="C255" s="372" t="s">
        <v>66</v>
      </c>
      <c r="D255" s="377">
        <v>1112</v>
      </c>
      <c r="E255" s="372" t="s">
        <v>381</v>
      </c>
      <c r="F255" s="407" t="s">
        <v>382</v>
      </c>
      <c r="G255" s="384">
        <v>45459</v>
      </c>
      <c r="H255" s="56" t="e">
        <f xml:space="preserve"> CONCATENATE(DATEDIF(G41,H$5,"Y")," AÑOS")</f>
        <v>#VALUE!</v>
      </c>
      <c r="I255" s="57">
        <v>4649.6174699519988</v>
      </c>
      <c r="J255" s="58"/>
      <c r="K255" s="57"/>
      <c r="L255" s="59"/>
      <c r="M255" s="60">
        <v>4.0000000000000002E-4</v>
      </c>
      <c r="N255" s="61">
        <f t="shared" si="319"/>
        <v>185.98469879807996</v>
      </c>
      <c r="O255" s="58">
        <f t="shared" si="339"/>
        <v>4835.6021687500788</v>
      </c>
      <c r="P255" s="61">
        <f t="shared" si="321"/>
        <v>9671.2043375001576</v>
      </c>
      <c r="Q255" s="61">
        <f t="shared" si="322"/>
        <v>7253.4032531251178</v>
      </c>
      <c r="R255" s="61">
        <f t="shared" si="323"/>
        <v>2417.8010843750394</v>
      </c>
      <c r="S255" s="61">
        <f t="shared" si="324"/>
        <v>322.3734779166719</v>
      </c>
      <c r="T255" s="58">
        <f t="shared" si="325"/>
        <v>370.05251530054767</v>
      </c>
      <c r="U255" s="61">
        <f t="shared" si="326"/>
        <v>3626.7016265625589</v>
      </c>
      <c r="V255" s="58">
        <f t="shared" si="327"/>
        <v>1208.9005421875197</v>
      </c>
      <c r="W255" s="101">
        <v>2.5000000000000001E-2</v>
      </c>
      <c r="X255" s="63">
        <f t="shared" si="328"/>
        <v>241.78010843750394</v>
      </c>
      <c r="Y255" s="61">
        <v>261.40953794001274</v>
      </c>
      <c r="Z255" s="61">
        <v>0</v>
      </c>
      <c r="AA255" s="61">
        <f t="shared" si="329"/>
        <v>1208.9005421875197</v>
      </c>
      <c r="AB255" s="61">
        <f t="shared" si="330"/>
        <v>241.78010843750394</v>
      </c>
      <c r="AC255" s="61">
        <v>1733.7214135626682</v>
      </c>
      <c r="AD255" s="61">
        <v>918.3038193440741</v>
      </c>
      <c r="AE255" s="61">
        <v>573.58139871584888</v>
      </c>
      <c r="AF255" s="61">
        <v>0</v>
      </c>
      <c r="AG255" s="61">
        <f t="shared" si="331"/>
        <v>333.6565496437554</v>
      </c>
      <c r="AH255" s="64"/>
      <c r="AI255" s="64"/>
      <c r="AJ255" s="365">
        <v>31</v>
      </c>
      <c r="AK255" s="372" t="s">
        <v>66</v>
      </c>
      <c r="AL255" s="377">
        <v>1112</v>
      </c>
      <c r="AM255" s="372" t="s">
        <v>381</v>
      </c>
      <c r="AN255" s="407" t="s">
        <v>382</v>
      </c>
      <c r="AO255" s="368">
        <f t="shared" ref="AO255:AP255" si="349">Q255*3</f>
        <v>21760.209759375353</v>
      </c>
      <c r="AP255" s="368">
        <f t="shared" si="349"/>
        <v>7253.4032531251178</v>
      </c>
      <c r="AQ255" s="368">
        <f t="shared" ref="AQ255:AZ255" si="350">X255*3</f>
        <v>725.34032531251182</v>
      </c>
      <c r="AR255" s="368">
        <f t="shared" si="350"/>
        <v>784.22861382003816</v>
      </c>
      <c r="AS255" s="368">
        <f t="shared" si="350"/>
        <v>0</v>
      </c>
      <c r="AT255" s="368">
        <f t="shared" si="350"/>
        <v>3626.7016265625589</v>
      </c>
      <c r="AU255" s="368">
        <f t="shared" si="350"/>
        <v>725.34032531251182</v>
      </c>
      <c r="AV255" s="368">
        <f t="shared" si="350"/>
        <v>5201.1642406880046</v>
      </c>
      <c r="AW255" s="368">
        <f t="shared" si="350"/>
        <v>2754.9114580322221</v>
      </c>
      <c r="AX255" s="368">
        <f t="shared" si="350"/>
        <v>1720.7441961475465</v>
      </c>
      <c r="AY255" s="368">
        <f t="shared" si="350"/>
        <v>0</v>
      </c>
      <c r="AZ255" s="368">
        <f t="shared" si="350"/>
        <v>1000.9696489312662</v>
      </c>
      <c r="BB255" s="64"/>
      <c r="BC255" s="66"/>
      <c r="BD255" s="66"/>
      <c r="BE255" s="66"/>
    </row>
    <row r="256" spans="2:57" s="364" customFormat="1" ht="21" customHeight="1" x14ac:dyDescent="0.2">
      <c r="B256" s="365">
        <v>32</v>
      </c>
      <c r="C256" s="372" t="s">
        <v>66</v>
      </c>
      <c r="D256" s="377">
        <v>23010</v>
      </c>
      <c r="E256" s="372" t="s">
        <v>383</v>
      </c>
      <c r="F256" s="371" t="s">
        <v>384</v>
      </c>
      <c r="G256" s="384">
        <v>43427</v>
      </c>
      <c r="H256" s="56" t="str">
        <f t="shared" ref="H256:H276" si="351" xml:space="preserve"> CONCATENATE(DATEDIF(G256,H$5,"Y")," AÑOS")</f>
        <v>6 AÑOS</v>
      </c>
      <c r="I256" s="57">
        <v>6063.7985650654873</v>
      </c>
      <c r="J256" s="58"/>
      <c r="K256" s="58"/>
      <c r="L256" s="59"/>
      <c r="M256" s="60">
        <v>4.0000000000000002E-4</v>
      </c>
      <c r="N256" s="61">
        <f t="shared" si="319"/>
        <v>242.5519426026195</v>
      </c>
      <c r="O256" s="58">
        <f t="shared" si="339"/>
        <v>6306.3505076681067</v>
      </c>
      <c r="P256" s="61">
        <f t="shared" si="321"/>
        <v>12612.701015336213</v>
      </c>
      <c r="Q256" s="61">
        <f t="shared" si="322"/>
        <v>9459.5257615021601</v>
      </c>
      <c r="R256" s="61">
        <f t="shared" si="323"/>
        <v>3153.1752538340534</v>
      </c>
      <c r="S256" s="61">
        <f t="shared" si="324"/>
        <v>420.42336717787379</v>
      </c>
      <c r="T256" s="58">
        <f t="shared" si="325"/>
        <v>482.60398318348126</v>
      </c>
      <c r="U256" s="61">
        <f t="shared" si="326"/>
        <v>4729.76288075108</v>
      </c>
      <c r="V256" s="58">
        <f t="shared" si="327"/>
        <v>1576.5876269170267</v>
      </c>
      <c r="W256" s="62">
        <v>2.5000000000000001E-2</v>
      </c>
      <c r="X256" s="63">
        <f t="shared" si="328"/>
        <v>315.31752538340538</v>
      </c>
      <c r="Y256" s="61">
        <v>716.23566685143487</v>
      </c>
      <c r="Z256" s="61">
        <v>0</v>
      </c>
      <c r="AA256" s="61">
        <f t="shared" si="329"/>
        <v>1576.5876269170267</v>
      </c>
      <c r="AB256" s="61">
        <f t="shared" si="330"/>
        <v>315.31752538340533</v>
      </c>
      <c r="AC256" s="61">
        <v>2094.2367423759515</v>
      </c>
      <c r="AD256" s="61">
        <v>1264.9291701230636</v>
      </c>
      <c r="AE256" s="61">
        <v>748.03617393439606</v>
      </c>
      <c r="AF256" s="61">
        <v>0</v>
      </c>
      <c r="AG256" s="61">
        <f t="shared" si="331"/>
        <v>435.1381850290993</v>
      </c>
      <c r="AH256" s="64"/>
      <c r="AI256" s="64"/>
      <c r="AJ256" s="365">
        <v>32</v>
      </c>
      <c r="AK256" s="372" t="s">
        <v>66</v>
      </c>
      <c r="AL256" s="377">
        <v>23010</v>
      </c>
      <c r="AM256" s="372" t="s">
        <v>383</v>
      </c>
      <c r="AN256" s="371" t="s">
        <v>384</v>
      </c>
      <c r="AO256" s="368">
        <f>Q256*12</f>
        <v>113514.30913802591</v>
      </c>
      <c r="AP256" s="368">
        <f>R256*12</f>
        <v>37838.10304600864</v>
      </c>
      <c r="AQ256" s="368">
        <f t="shared" ref="AQ256:AZ257" si="352">X256*12</f>
        <v>3783.8103046008646</v>
      </c>
      <c r="AR256" s="368">
        <f t="shared" si="352"/>
        <v>8594.8280022172185</v>
      </c>
      <c r="AS256" s="368">
        <f t="shared" si="352"/>
        <v>0</v>
      </c>
      <c r="AT256" s="368">
        <f t="shared" si="352"/>
        <v>18919.05152300432</v>
      </c>
      <c r="AU256" s="368">
        <f t="shared" si="352"/>
        <v>3783.8103046008637</v>
      </c>
      <c r="AV256" s="368">
        <f t="shared" si="352"/>
        <v>25130.840908511418</v>
      </c>
      <c r="AW256" s="368">
        <f t="shared" si="352"/>
        <v>15179.150041476763</v>
      </c>
      <c r="AX256" s="368">
        <f t="shared" si="352"/>
        <v>8976.4340872127523</v>
      </c>
      <c r="AY256" s="368">
        <f t="shared" si="352"/>
        <v>0</v>
      </c>
      <c r="AZ256" s="368">
        <f t="shared" si="352"/>
        <v>5221.6582203491917</v>
      </c>
      <c r="BB256" s="64"/>
      <c r="BC256" s="66"/>
      <c r="BD256" s="66"/>
      <c r="BE256" s="66"/>
    </row>
    <row r="257" spans="2:57" s="364" customFormat="1" ht="21" customHeight="1" x14ac:dyDescent="0.2">
      <c r="B257" s="365">
        <v>33</v>
      </c>
      <c r="C257" s="372" t="s">
        <v>66</v>
      </c>
      <c r="D257" s="365">
        <v>9114</v>
      </c>
      <c r="E257" s="372" t="s">
        <v>385</v>
      </c>
      <c r="F257" s="408" t="s">
        <v>386</v>
      </c>
      <c r="G257" s="363">
        <v>43430</v>
      </c>
      <c r="H257" s="56" t="str">
        <f t="shared" si="351"/>
        <v>6 AÑOS</v>
      </c>
      <c r="I257" s="57">
        <v>5451.5310468287116</v>
      </c>
      <c r="J257" s="58"/>
      <c r="K257" s="58"/>
      <c r="L257" s="59"/>
      <c r="M257" s="60">
        <v>4.0000000000000002E-4</v>
      </c>
      <c r="N257" s="61">
        <f t="shared" si="319"/>
        <v>218.06124187314848</v>
      </c>
      <c r="O257" s="58">
        <f t="shared" si="339"/>
        <v>5669.5922887018605</v>
      </c>
      <c r="P257" s="61">
        <f t="shared" si="321"/>
        <v>11339.184577403721</v>
      </c>
      <c r="Q257" s="61">
        <f t="shared" si="322"/>
        <v>8504.3884330527908</v>
      </c>
      <c r="R257" s="61">
        <f t="shared" si="323"/>
        <v>2834.7961443509303</v>
      </c>
      <c r="S257" s="61">
        <f t="shared" si="324"/>
        <v>377.97281924679072</v>
      </c>
      <c r="T257" s="58">
        <f t="shared" si="325"/>
        <v>433.87499921339105</v>
      </c>
      <c r="U257" s="61">
        <f t="shared" si="326"/>
        <v>4252.1942165263954</v>
      </c>
      <c r="V257" s="58">
        <f t="shared" si="327"/>
        <v>1417.3980721754651</v>
      </c>
      <c r="W257" s="101">
        <v>2.5000000000000001E-2</v>
      </c>
      <c r="X257" s="63">
        <f t="shared" si="328"/>
        <v>283.47961443509303</v>
      </c>
      <c r="Y257" s="61">
        <v>612.31672551614361</v>
      </c>
      <c r="Z257" s="61">
        <v>0</v>
      </c>
      <c r="AA257" s="61">
        <f t="shared" si="329"/>
        <v>1417.3980721754651</v>
      </c>
      <c r="AB257" s="61">
        <f t="shared" si="330"/>
        <v>283.47961443509308</v>
      </c>
      <c r="AC257" s="61">
        <v>1938.1521882679008</v>
      </c>
      <c r="AD257" s="61">
        <v>1137.2080666882587</v>
      </c>
      <c r="AE257" s="61">
        <v>672.50624878075621</v>
      </c>
      <c r="AF257" s="61">
        <v>0</v>
      </c>
      <c r="AG257" s="61">
        <f t="shared" si="331"/>
        <v>391.20186792042836</v>
      </c>
      <c r="AH257" s="64"/>
      <c r="AI257" s="64"/>
      <c r="AJ257" s="365">
        <v>33</v>
      </c>
      <c r="AK257" s="372" t="s">
        <v>66</v>
      </c>
      <c r="AL257" s="365">
        <v>9114</v>
      </c>
      <c r="AM257" s="372" t="s">
        <v>385</v>
      </c>
      <c r="AN257" s="408" t="s">
        <v>386</v>
      </c>
      <c r="AO257" s="368">
        <f>Q257*12</f>
        <v>102052.66119663349</v>
      </c>
      <c r="AP257" s="368">
        <f>R257*12</f>
        <v>34017.553732211163</v>
      </c>
      <c r="AQ257" s="368">
        <f t="shared" si="352"/>
        <v>3401.7553732211163</v>
      </c>
      <c r="AR257" s="368">
        <f t="shared" si="352"/>
        <v>7347.8007061937233</v>
      </c>
      <c r="AS257" s="368">
        <f t="shared" si="352"/>
        <v>0</v>
      </c>
      <c r="AT257" s="368">
        <f t="shared" si="352"/>
        <v>17008.776866105582</v>
      </c>
      <c r="AU257" s="368">
        <f t="shared" si="352"/>
        <v>3401.7553732211172</v>
      </c>
      <c r="AV257" s="368">
        <f t="shared" si="352"/>
        <v>23257.826259214809</v>
      </c>
      <c r="AW257" s="368">
        <f t="shared" si="352"/>
        <v>13646.496800259105</v>
      </c>
      <c r="AX257" s="368">
        <f t="shared" si="352"/>
        <v>8070.0749853690741</v>
      </c>
      <c r="AY257" s="368">
        <f t="shared" si="352"/>
        <v>0</v>
      </c>
      <c r="AZ257" s="368">
        <f t="shared" si="352"/>
        <v>4694.42241504514</v>
      </c>
      <c r="BB257" s="64"/>
      <c r="BC257" s="66"/>
      <c r="BD257" s="66"/>
      <c r="BE257" s="66"/>
    </row>
    <row r="258" spans="2:57" s="364" customFormat="1" ht="21" customHeight="1" x14ac:dyDescent="0.2">
      <c r="B258" s="365">
        <v>34</v>
      </c>
      <c r="C258" s="372" t="s">
        <v>66</v>
      </c>
      <c r="D258" s="365">
        <v>17174</v>
      </c>
      <c r="E258" s="372" t="s">
        <v>387</v>
      </c>
      <c r="F258" s="409" t="s">
        <v>388</v>
      </c>
      <c r="G258" s="55">
        <v>45292</v>
      </c>
      <c r="H258" s="56" t="str">
        <f t="shared" si="351"/>
        <v>0 AÑOS</v>
      </c>
      <c r="I258" s="58">
        <v>4613.4201939281784</v>
      </c>
      <c r="J258" s="58"/>
      <c r="K258" s="58"/>
      <c r="L258" s="59"/>
      <c r="M258" s="60">
        <v>4.0000000000000002E-4</v>
      </c>
      <c r="N258" s="61">
        <f t="shared" si="319"/>
        <v>184.53680775712715</v>
      </c>
      <c r="O258" s="58">
        <f t="shared" si="339"/>
        <v>4797.9570016853058</v>
      </c>
      <c r="P258" s="61">
        <f t="shared" si="321"/>
        <v>9595.9140033706117</v>
      </c>
      <c r="Q258" s="61">
        <f t="shared" si="322"/>
        <v>7196.9355025279583</v>
      </c>
      <c r="R258" s="61">
        <f t="shared" si="323"/>
        <v>2398.9785008426529</v>
      </c>
      <c r="S258" s="61">
        <f t="shared" si="324"/>
        <v>319.86380011235372</v>
      </c>
      <c r="T258" s="58">
        <f t="shared" si="325"/>
        <v>367.17165614897078</v>
      </c>
      <c r="U258" s="61">
        <f t="shared" si="326"/>
        <v>3598.4677512639792</v>
      </c>
      <c r="V258" s="58">
        <f t="shared" si="327"/>
        <v>1199.4892504213265</v>
      </c>
      <c r="W258" s="62">
        <v>0</v>
      </c>
      <c r="X258" s="63">
        <f t="shared" si="328"/>
        <v>0</v>
      </c>
      <c r="Y258" s="61">
        <v>255.26584667504181</v>
      </c>
      <c r="Z258" s="61">
        <v>0</v>
      </c>
      <c r="AA258" s="61">
        <f t="shared" si="329"/>
        <v>1199.4892504213265</v>
      </c>
      <c r="AB258" s="61">
        <f t="shared" si="330"/>
        <v>239.89785008426529</v>
      </c>
      <c r="AC258" s="61">
        <v>1724.4936895371072</v>
      </c>
      <c r="AD258" s="61">
        <v>911.15482331647854</v>
      </c>
      <c r="AE258" s="61">
        <v>569.11606703090479</v>
      </c>
      <c r="AF258" s="61">
        <v>0</v>
      </c>
      <c r="AG258" s="61">
        <f t="shared" si="331"/>
        <v>331.05903311628612</v>
      </c>
      <c r="AH258" s="64"/>
      <c r="AI258" s="64"/>
      <c r="AJ258" s="365">
        <v>34</v>
      </c>
      <c r="AK258" s="372" t="s">
        <v>66</v>
      </c>
      <c r="AL258" s="365">
        <v>17174</v>
      </c>
      <c r="AM258" s="372" t="s">
        <v>387</v>
      </c>
      <c r="AN258" s="409" t="s">
        <v>388</v>
      </c>
      <c r="AO258" s="368">
        <f t="shared" ref="AO258:AP258" si="353">Q258*3</f>
        <v>21590.806507583875</v>
      </c>
      <c r="AP258" s="368">
        <f t="shared" si="353"/>
        <v>7196.9355025279583</v>
      </c>
      <c r="AQ258" s="368">
        <f t="shared" ref="AQ258:AZ258" si="354">X258*3</f>
        <v>0</v>
      </c>
      <c r="AR258" s="368">
        <f t="shared" si="354"/>
        <v>765.7975400251255</v>
      </c>
      <c r="AS258" s="368">
        <f t="shared" si="354"/>
        <v>0</v>
      </c>
      <c r="AT258" s="368">
        <f t="shared" si="354"/>
        <v>3598.4677512639792</v>
      </c>
      <c r="AU258" s="368">
        <f t="shared" si="354"/>
        <v>719.69355025279583</v>
      </c>
      <c r="AV258" s="368">
        <f t="shared" si="354"/>
        <v>5173.4810686113215</v>
      </c>
      <c r="AW258" s="368">
        <f t="shared" si="354"/>
        <v>2733.4644699494356</v>
      </c>
      <c r="AX258" s="368">
        <f t="shared" si="354"/>
        <v>1707.3482010927144</v>
      </c>
      <c r="AY258" s="368">
        <f t="shared" si="354"/>
        <v>0</v>
      </c>
      <c r="AZ258" s="368">
        <f t="shared" si="354"/>
        <v>993.17709934885829</v>
      </c>
      <c r="BB258" s="64"/>
      <c r="BC258" s="66"/>
      <c r="BD258" s="66"/>
      <c r="BE258" s="66"/>
    </row>
    <row r="259" spans="2:57" ht="21" customHeight="1" x14ac:dyDescent="0.2">
      <c r="B259" s="67">
        <v>35</v>
      </c>
      <c r="C259" s="73" t="s">
        <v>66</v>
      </c>
      <c r="D259" s="67">
        <v>13347</v>
      </c>
      <c r="E259" s="73" t="s">
        <v>389</v>
      </c>
      <c r="F259" s="72" t="s">
        <v>390</v>
      </c>
      <c r="G259" s="55">
        <v>43514</v>
      </c>
      <c r="H259" s="56" t="str">
        <f t="shared" si="351"/>
        <v>5 AÑOS</v>
      </c>
      <c r="I259" s="57">
        <v>3170.3326204132072</v>
      </c>
      <c r="J259" s="172"/>
      <c r="K259" s="205"/>
      <c r="L259" s="173"/>
      <c r="M259" s="60">
        <v>7.7999999999999999E-4</v>
      </c>
      <c r="N259" s="61">
        <f>I259*0.078</f>
        <v>247.28594439223016</v>
      </c>
      <c r="O259" s="58">
        <f t="shared" si="339"/>
        <v>3417.6185648054375</v>
      </c>
      <c r="P259" s="61">
        <f t="shared" si="321"/>
        <v>6835.2371296108749</v>
      </c>
      <c r="Q259" s="61">
        <f t="shared" si="322"/>
        <v>5126.427847208156</v>
      </c>
      <c r="R259" s="61">
        <f t="shared" si="323"/>
        <v>1708.8092824027187</v>
      </c>
      <c r="S259" s="61">
        <f t="shared" si="324"/>
        <v>227.84123765369583</v>
      </c>
      <c r="T259" s="58">
        <f t="shared" si="325"/>
        <v>261.53895670267741</v>
      </c>
      <c r="U259" s="61">
        <f t="shared" si="326"/>
        <v>2563.213923604078</v>
      </c>
      <c r="V259" s="58">
        <f t="shared" si="327"/>
        <v>854.40464120135937</v>
      </c>
      <c r="W259" s="101">
        <v>2.5000000000000001E-2</v>
      </c>
      <c r="X259" s="63">
        <f t="shared" si="328"/>
        <v>170.88092824027188</v>
      </c>
      <c r="Y259" s="63">
        <v>0</v>
      </c>
      <c r="Z259" s="61">
        <v>25.84</v>
      </c>
      <c r="AA259" s="61">
        <f t="shared" si="329"/>
        <v>854.40464120135937</v>
      </c>
      <c r="AB259" s="61">
        <f t="shared" si="330"/>
        <v>170.88092824027186</v>
      </c>
      <c r="AC259" s="61">
        <v>1385.6</v>
      </c>
      <c r="AD259" s="61">
        <v>625.11</v>
      </c>
      <c r="AE259" s="61">
        <v>405.12</v>
      </c>
      <c r="AF259" s="61">
        <v>0</v>
      </c>
      <c r="AG259" s="61">
        <f t="shared" si="331"/>
        <v>235.81568097157518</v>
      </c>
      <c r="AH259" s="64"/>
      <c r="AI259" s="64"/>
      <c r="AJ259" s="67">
        <v>35</v>
      </c>
      <c r="AK259" s="73" t="s">
        <v>66</v>
      </c>
      <c r="AL259" s="67">
        <v>13347</v>
      </c>
      <c r="AM259" s="73" t="s">
        <v>389</v>
      </c>
      <c r="AN259" s="72" t="s">
        <v>390</v>
      </c>
      <c r="AO259" s="138">
        <f>Q259*10</f>
        <v>51264.278472081562</v>
      </c>
      <c r="AP259" s="65">
        <f>R259*10</f>
        <v>17088.092824027186</v>
      </c>
      <c r="AQ259" s="65">
        <f t="shared" ref="AQ259:AZ260" si="355">X259*10</f>
        <v>1708.809282402719</v>
      </c>
      <c r="AR259" s="65">
        <f t="shared" si="355"/>
        <v>0</v>
      </c>
      <c r="AS259" s="65">
        <f t="shared" si="355"/>
        <v>258.39999999999998</v>
      </c>
      <c r="AT259" s="65">
        <f t="shared" si="355"/>
        <v>8544.046412013593</v>
      </c>
      <c r="AU259" s="65">
        <f t="shared" si="355"/>
        <v>1708.8092824027185</v>
      </c>
      <c r="AV259" s="65">
        <f t="shared" si="355"/>
        <v>13856</v>
      </c>
      <c r="AW259" s="65">
        <f t="shared" si="355"/>
        <v>6251.1</v>
      </c>
      <c r="AX259" s="65">
        <f t="shared" si="355"/>
        <v>4051.2</v>
      </c>
      <c r="AY259" s="65">
        <f t="shared" si="355"/>
        <v>0</v>
      </c>
      <c r="AZ259" s="65">
        <f t="shared" si="355"/>
        <v>2358.1568097157519</v>
      </c>
      <c r="BB259" s="64"/>
      <c r="BC259" s="66"/>
      <c r="BD259" s="66"/>
      <c r="BE259" s="66"/>
    </row>
    <row r="260" spans="2:57" ht="21" customHeight="1" x14ac:dyDescent="0.2">
      <c r="B260" s="67">
        <v>36</v>
      </c>
      <c r="C260" s="73" t="s">
        <v>66</v>
      </c>
      <c r="D260" s="127">
        <v>9143</v>
      </c>
      <c r="E260" s="73" t="s">
        <v>391</v>
      </c>
      <c r="F260" s="72" t="s">
        <v>392</v>
      </c>
      <c r="G260" s="157">
        <v>45505</v>
      </c>
      <c r="H260" s="56" t="str">
        <f t="shared" si="351"/>
        <v>0 AÑOS</v>
      </c>
      <c r="I260" s="57">
        <v>3065.9046212009775</v>
      </c>
      <c r="J260" s="58"/>
      <c r="K260" s="58"/>
      <c r="L260" s="59"/>
      <c r="M260" s="60">
        <v>1.14E-3</v>
      </c>
      <c r="N260" s="61">
        <f>I260*0.1147</f>
        <v>351.65926005175209</v>
      </c>
      <c r="O260" s="58">
        <f t="shared" si="339"/>
        <v>3417.5638812527295</v>
      </c>
      <c r="P260" s="61">
        <f t="shared" si="321"/>
        <v>6835.127762505459</v>
      </c>
      <c r="Q260" s="61">
        <f t="shared" si="322"/>
        <v>5126.3458218790947</v>
      </c>
      <c r="R260" s="61">
        <f t="shared" si="323"/>
        <v>1708.7819406263648</v>
      </c>
      <c r="S260" s="61">
        <f t="shared" si="324"/>
        <v>227.83759208351529</v>
      </c>
      <c r="T260" s="58">
        <f t="shared" si="325"/>
        <v>261.5347719526672</v>
      </c>
      <c r="U260" s="61">
        <f t="shared" si="326"/>
        <v>2563.1729109395474</v>
      </c>
      <c r="V260" s="58">
        <f t="shared" si="327"/>
        <v>854.39097031318238</v>
      </c>
      <c r="W260" s="101">
        <v>0</v>
      </c>
      <c r="X260" s="63">
        <f t="shared" si="328"/>
        <v>0</v>
      </c>
      <c r="Y260" s="63">
        <f>Q260*X260</f>
        <v>0</v>
      </c>
      <c r="Z260" s="61">
        <v>25.84</v>
      </c>
      <c r="AA260" s="61">
        <f t="shared" si="329"/>
        <v>854.39097031318227</v>
      </c>
      <c r="AB260" s="61">
        <f t="shared" si="330"/>
        <v>170.87819406263648</v>
      </c>
      <c r="AC260" s="61">
        <v>1385.6</v>
      </c>
      <c r="AD260" s="61">
        <v>625.11</v>
      </c>
      <c r="AE260" s="61">
        <v>405.12</v>
      </c>
      <c r="AF260" s="61">
        <v>0</v>
      </c>
      <c r="AG260" s="61">
        <f t="shared" si="331"/>
        <v>235.81190780643834</v>
      </c>
      <c r="AH260" s="64"/>
      <c r="AI260" s="64"/>
      <c r="AJ260" s="67">
        <v>36</v>
      </c>
      <c r="AK260" s="73" t="s">
        <v>66</v>
      </c>
      <c r="AL260" s="127">
        <v>9143</v>
      </c>
      <c r="AM260" s="73" t="s">
        <v>391</v>
      </c>
      <c r="AN260" s="72" t="s">
        <v>392</v>
      </c>
      <c r="AO260" s="138">
        <f>Q260*10</f>
        <v>51263.458218790947</v>
      </c>
      <c r="AP260" s="65">
        <f>R260*10</f>
        <v>17087.819406263647</v>
      </c>
      <c r="AQ260" s="65">
        <f t="shared" si="355"/>
        <v>0</v>
      </c>
      <c r="AR260" s="65">
        <f t="shared" si="355"/>
        <v>0</v>
      </c>
      <c r="AS260" s="65">
        <f t="shared" si="355"/>
        <v>258.39999999999998</v>
      </c>
      <c r="AT260" s="65">
        <f t="shared" si="355"/>
        <v>8543.9097031318233</v>
      </c>
      <c r="AU260" s="65">
        <f t="shared" si="355"/>
        <v>1708.7819406263648</v>
      </c>
      <c r="AV260" s="65">
        <f t="shared" si="355"/>
        <v>13856</v>
      </c>
      <c r="AW260" s="65">
        <f t="shared" si="355"/>
        <v>6251.1</v>
      </c>
      <c r="AX260" s="65">
        <f t="shared" si="355"/>
        <v>4051.2</v>
      </c>
      <c r="AY260" s="65">
        <f t="shared" si="355"/>
        <v>0</v>
      </c>
      <c r="AZ260" s="65">
        <f t="shared" si="355"/>
        <v>2358.1190780643833</v>
      </c>
      <c r="BB260" s="64"/>
      <c r="BC260" s="66"/>
      <c r="BD260" s="66"/>
      <c r="BE260" s="66"/>
    </row>
    <row r="261" spans="2:57" s="364" customFormat="1" ht="21" customHeight="1" x14ac:dyDescent="0.2">
      <c r="B261" s="365">
        <v>37</v>
      </c>
      <c r="C261" s="372" t="s">
        <v>66</v>
      </c>
      <c r="D261" s="365">
        <v>13340</v>
      </c>
      <c r="E261" s="372" t="s">
        <v>393</v>
      </c>
      <c r="F261" s="371" t="s">
        <v>394</v>
      </c>
      <c r="G261" s="55">
        <v>43252</v>
      </c>
      <c r="H261" s="55" t="str">
        <f xml:space="preserve"> CONCATENATE(DATEDIF(G261,H$5,"Y")," AÑOS")</f>
        <v>6 AÑOS</v>
      </c>
      <c r="I261" s="57">
        <v>4913.4005810646095</v>
      </c>
      <c r="J261" s="58">
        <v>5110.0200000000004</v>
      </c>
      <c r="K261" s="172">
        <f>J261-I261</f>
        <v>196.61941893539097</v>
      </c>
      <c r="L261" s="173">
        <f>K261*100/I261</f>
        <v>4.0016973110869074</v>
      </c>
      <c r="M261" s="60">
        <v>4.0000000000000002E-4</v>
      </c>
      <c r="N261" s="61">
        <f>I261*0.040016</f>
        <v>196.61463765188142</v>
      </c>
      <c r="O261" s="58">
        <f>I261+N261</f>
        <v>5110.0152187164913</v>
      </c>
      <c r="P261" s="61">
        <f>O261*2</f>
        <v>10220.030437432983</v>
      </c>
      <c r="Q261" s="61">
        <f>P261*0.75</f>
        <v>7665.0228280747369</v>
      </c>
      <c r="R261" s="61">
        <f>P261*0.25</f>
        <v>2555.0076093582456</v>
      </c>
      <c r="S261" s="61">
        <f>(P261/30)</f>
        <v>340.6676812477661</v>
      </c>
      <c r="T261" s="58">
        <f>S261*1.1479</f>
        <v>391.05243130431069</v>
      </c>
      <c r="U261" s="61">
        <f>O261*0.75</f>
        <v>3832.5114140373685</v>
      </c>
      <c r="V261" s="58">
        <f>O261*0.25</f>
        <v>1277.5038046791228</v>
      </c>
      <c r="W261" s="62">
        <v>2.5000000000000001E-2</v>
      </c>
      <c r="X261" s="63">
        <f>P261*W261</f>
        <v>255.50076093582459</v>
      </c>
      <c r="Y261" s="61">
        <v>520.98091782293409</v>
      </c>
      <c r="Z261" s="61">
        <v>0</v>
      </c>
      <c r="AA261" s="61">
        <f>(S261*45)/12</f>
        <v>1277.5038046791228</v>
      </c>
      <c r="AB261" s="61">
        <f>(S261*10)*(0.45*2)/12</f>
        <v>255.50076093582459</v>
      </c>
      <c r="AC261" s="61">
        <v>1800.9879474527625</v>
      </c>
      <c r="AD261" s="61">
        <v>970.41723130116566</v>
      </c>
      <c r="AE261" s="61">
        <v>606.1319371025395</v>
      </c>
      <c r="AF261" s="61">
        <v>0</v>
      </c>
      <c r="AG261" s="61">
        <f>(P261+AA261+AB261)*0.03</f>
        <v>352.59105009143792</v>
      </c>
      <c r="AH261" s="64"/>
      <c r="AI261" s="64"/>
      <c r="AJ261" s="365">
        <v>37</v>
      </c>
      <c r="AK261" s="372" t="s">
        <v>66</v>
      </c>
      <c r="AL261" s="365">
        <v>13340</v>
      </c>
      <c r="AM261" s="372" t="s">
        <v>393</v>
      </c>
      <c r="AN261" s="371" t="s">
        <v>394</v>
      </c>
      <c r="AO261" s="368">
        <f t="shared" ref="AO261:AP261" si="356">Q261*3</f>
        <v>22995.068484224212</v>
      </c>
      <c r="AP261" s="368">
        <f t="shared" si="356"/>
        <v>7665.0228280747369</v>
      </c>
      <c r="AQ261" s="368">
        <f t="shared" ref="AQ261:AZ261" si="357">X261*3</f>
        <v>766.50228280747376</v>
      </c>
      <c r="AR261" s="368">
        <f t="shared" si="357"/>
        <v>1562.9427534688023</v>
      </c>
      <c r="AS261" s="368">
        <f t="shared" si="357"/>
        <v>0</v>
      </c>
      <c r="AT261" s="368">
        <f t="shared" si="357"/>
        <v>3832.5114140373685</v>
      </c>
      <c r="AU261" s="368">
        <f t="shared" si="357"/>
        <v>766.50228280747376</v>
      </c>
      <c r="AV261" s="368">
        <f t="shared" si="357"/>
        <v>5402.9638423582874</v>
      </c>
      <c r="AW261" s="368">
        <f t="shared" si="357"/>
        <v>2911.2516939034967</v>
      </c>
      <c r="AX261" s="368">
        <f t="shared" si="357"/>
        <v>1818.3958113076185</v>
      </c>
      <c r="AY261" s="368">
        <f t="shared" si="357"/>
        <v>0</v>
      </c>
      <c r="AZ261" s="368">
        <f t="shared" si="357"/>
        <v>1057.7731502743138</v>
      </c>
      <c r="BB261" s="64"/>
      <c r="BC261" s="66"/>
      <c r="BD261" s="66"/>
      <c r="BE261" s="66"/>
    </row>
    <row r="262" spans="2:57" s="364" customFormat="1" ht="21" customHeight="1" x14ac:dyDescent="0.2">
      <c r="B262" s="365">
        <v>38</v>
      </c>
      <c r="C262" s="372" t="s">
        <v>66</v>
      </c>
      <c r="D262" s="365">
        <v>17120</v>
      </c>
      <c r="E262" s="69" t="s">
        <v>395</v>
      </c>
      <c r="F262" s="371" t="s">
        <v>76</v>
      </c>
      <c r="G262" s="55">
        <v>41155</v>
      </c>
      <c r="H262" s="56" t="str">
        <f t="shared" si="351"/>
        <v>12 AÑOS</v>
      </c>
      <c r="I262" s="57">
        <v>3778.3434332124157</v>
      </c>
      <c r="J262" s="57"/>
      <c r="K262" s="58"/>
      <c r="L262" s="59"/>
      <c r="M262" s="60">
        <v>4.0000000000000002E-4</v>
      </c>
      <c r="N262" s="61">
        <f>I262*0.04</f>
        <v>151.13373732849664</v>
      </c>
      <c r="O262" s="58">
        <f t="shared" si="339"/>
        <v>3929.4771705409121</v>
      </c>
      <c r="P262" s="61">
        <f t="shared" si="321"/>
        <v>7858.9543410818242</v>
      </c>
      <c r="Q262" s="61">
        <f t="shared" si="322"/>
        <v>5894.2157558113686</v>
      </c>
      <c r="R262" s="61">
        <f t="shared" si="323"/>
        <v>1964.738585270456</v>
      </c>
      <c r="S262" s="61">
        <f t="shared" si="324"/>
        <v>261.96514470272746</v>
      </c>
      <c r="T262" s="58">
        <f t="shared" si="325"/>
        <v>300.70978960426083</v>
      </c>
      <c r="U262" s="61">
        <f t="shared" si="326"/>
        <v>2947.1078779056843</v>
      </c>
      <c r="V262" s="58">
        <f t="shared" si="327"/>
        <v>982.36929263522802</v>
      </c>
      <c r="W262" s="101">
        <v>0.05</v>
      </c>
      <c r="X262" s="63">
        <f t="shared" si="328"/>
        <v>392.94771705409124</v>
      </c>
      <c r="Y262" s="61">
        <v>53.511728371927632</v>
      </c>
      <c r="Z262" s="61">
        <v>0</v>
      </c>
      <c r="AA262" s="61">
        <f t="shared" si="329"/>
        <v>982.36929263522791</v>
      </c>
      <c r="AB262" s="61">
        <f t="shared" si="330"/>
        <v>196.47385852704562</v>
      </c>
      <c r="AC262" s="61">
        <v>1526.9863157752077</v>
      </c>
      <c r="AD262" s="61">
        <v>719.19256830703034</v>
      </c>
      <c r="AE262" s="61">
        <v>466.1001738866043</v>
      </c>
      <c r="AF262" s="61">
        <v>0</v>
      </c>
      <c r="AG262" s="61">
        <f t="shared" si="331"/>
        <v>271.13392476732298</v>
      </c>
      <c r="AH262" s="64"/>
      <c r="AI262" s="64"/>
      <c r="AJ262" s="365">
        <v>38</v>
      </c>
      <c r="AK262" s="372" t="s">
        <v>66</v>
      </c>
      <c r="AL262" s="365">
        <v>17120</v>
      </c>
      <c r="AM262" s="69" t="s">
        <v>395</v>
      </c>
      <c r="AN262" s="371" t="s">
        <v>76</v>
      </c>
      <c r="AO262" s="401">
        <f t="shared" ref="AO262:AP268" si="358">Q262*12</f>
        <v>70730.589069736423</v>
      </c>
      <c r="AP262" s="368">
        <f t="shared" si="358"/>
        <v>23576.863023245474</v>
      </c>
      <c r="AQ262" s="368">
        <f t="shared" ref="AQ262:AZ268" si="359">X262*12</f>
        <v>4715.3726046490947</v>
      </c>
      <c r="AR262" s="368">
        <f t="shared" si="359"/>
        <v>642.14074046313158</v>
      </c>
      <c r="AS262" s="368">
        <f t="shared" si="359"/>
        <v>0</v>
      </c>
      <c r="AT262" s="368">
        <f t="shared" si="359"/>
        <v>11788.431511622735</v>
      </c>
      <c r="AU262" s="368">
        <f t="shared" si="359"/>
        <v>2357.6863023245473</v>
      </c>
      <c r="AV262" s="368">
        <f t="shared" si="359"/>
        <v>18323.835789302491</v>
      </c>
      <c r="AW262" s="368">
        <f t="shared" si="359"/>
        <v>8630.3108196843641</v>
      </c>
      <c r="AX262" s="368">
        <f t="shared" si="359"/>
        <v>5593.2020866392513</v>
      </c>
      <c r="AY262" s="368">
        <f t="shared" si="359"/>
        <v>0</v>
      </c>
      <c r="AZ262" s="368">
        <f t="shared" si="359"/>
        <v>3253.607097207876</v>
      </c>
      <c r="BB262" s="64"/>
      <c r="BC262" s="66"/>
      <c r="BD262" s="66"/>
      <c r="BE262" s="66"/>
    </row>
    <row r="263" spans="2:57" s="364" customFormat="1" ht="21" customHeight="1" x14ac:dyDescent="0.2">
      <c r="B263" s="365">
        <v>39</v>
      </c>
      <c r="C263" s="372" t="s">
        <v>66</v>
      </c>
      <c r="D263" s="365">
        <v>1032</v>
      </c>
      <c r="E263" s="112" t="s">
        <v>396</v>
      </c>
      <c r="F263" s="371" t="s">
        <v>76</v>
      </c>
      <c r="G263" s="55">
        <v>38221</v>
      </c>
      <c r="H263" s="56" t="str">
        <f t="shared" si="351"/>
        <v>20 AÑOS</v>
      </c>
      <c r="I263" s="57">
        <v>3778.2492796527454</v>
      </c>
      <c r="J263" s="58"/>
      <c r="K263" s="58"/>
      <c r="L263" s="59"/>
      <c r="M263" s="60">
        <v>4.0000000000000002E-4</v>
      </c>
      <c r="N263" s="61">
        <f>I263*0.04</f>
        <v>151.12997118610983</v>
      </c>
      <c r="O263" s="58">
        <f t="shared" si="339"/>
        <v>3929.3792508388551</v>
      </c>
      <c r="P263" s="61">
        <f t="shared" si="321"/>
        <v>7858.7585016777102</v>
      </c>
      <c r="Q263" s="61">
        <f t="shared" si="322"/>
        <v>5894.0688762582831</v>
      </c>
      <c r="R263" s="61">
        <f t="shared" si="323"/>
        <v>1964.6896254194276</v>
      </c>
      <c r="S263" s="61">
        <f t="shared" si="324"/>
        <v>261.95861672259036</v>
      </c>
      <c r="T263" s="58">
        <f t="shared" si="325"/>
        <v>300.70229613586145</v>
      </c>
      <c r="U263" s="61">
        <f t="shared" si="326"/>
        <v>2947.0344381291416</v>
      </c>
      <c r="V263" s="58">
        <f t="shared" si="327"/>
        <v>982.34481270971378</v>
      </c>
      <c r="W263" s="101">
        <v>7.4999999999999997E-2</v>
      </c>
      <c r="X263" s="63">
        <f t="shared" si="328"/>
        <v>589.40688762582829</v>
      </c>
      <c r="Y263" s="61">
        <v>53.502328080530162</v>
      </c>
      <c r="Z263" s="61">
        <v>0</v>
      </c>
      <c r="AA263" s="61">
        <f t="shared" si="329"/>
        <v>982.34481270971389</v>
      </c>
      <c r="AB263" s="61">
        <f t="shared" si="330"/>
        <v>196.46896254194277</v>
      </c>
      <c r="AC263" s="61">
        <v>1526.9657977947331</v>
      </c>
      <c r="AD263" s="61">
        <v>719.1746465533331</v>
      </c>
      <c r="AE263" s="61">
        <v>466.08855901058524</v>
      </c>
      <c r="AF263" s="61">
        <v>0</v>
      </c>
      <c r="AG263" s="61">
        <f t="shared" si="331"/>
        <v>271.12716830788105</v>
      </c>
      <c r="AH263" s="64"/>
      <c r="AI263" s="64"/>
      <c r="AJ263" s="365">
        <v>39</v>
      </c>
      <c r="AK263" s="372" t="s">
        <v>66</v>
      </c>
      <c r="AL263" s="365">
        <v>1032</v>
      </c>
      <c r="AM263" s="112" t="s">
        <v>396</v>
      </c>
      <c r="AN263" s="371" t="s">
        <v>76</v>
      </c>
      <c r="AO263" s="401">
        <f t="shared" si="358"/>
        <v>70728.826515099398</v>
      </c>
      <c r="AP263" s="368">
        <f t="shared" si="358"/>
        <v>23576.275505033133</v>
      </c>
      <c r="AQ263" s="368">
        <f t="shared" si="359"/>
        <v>7072.882651509939</v>
      </c>
      <c r="AR263" s="368">
        <f t="shared" si="359"/>
        <v>642.02793696636195</v>
      </c>
      <c r="AS263" s="368">
        <f t="shared" si="359"/>
        <v>0</v>
      </c>
      <c r="AT263" s="368">
        <f t="shared" si="359"/>
        <v>11788.137752516566</v>
      </c>
      <c r="AU263" s="368">
        <f t="shared" si="359"/>
        <v>2357.6275505033132</v>
      </c>
      <c r="AV263" s="368">
        <f t="shared" si="359"/>
        <v>18323.589573536796</v>
      </c>
      <c r="AW263" s="368">
        <f t="shared" si="359"/>
        <v>8630.0957586399963</v>
      </c>
      <c r="AX263" s="368">
        <f t="shared" si="359"/>
        <v>5593.0627081270231</v>
      </c>
      <c r="AY263" s="368">
        <f t="shared" si="359"/>
        <v>0</v>
      </c>
      <c r="AZ263" s="368">
        <f t="shared" si="359"/>
        <v>3253.5260196945728</v>
      </c>
      <c r="BB263" s="64"/>
      <c r="BC263" s="66"/>
      <c r="BD263" s="66"/>
      <c r="BE263" s="66"/>
    </row>
    <row r="264" spans="2:57" s="364" customFormat="1" ht="21" customHeight="1" x14ac:dyDescent="0.2">
      <c r="B264" s="365">
        <v>40</v>
      </c>
      <c r="C264" s="372" t="s">
        <v>66</v>
      </c>
      <c r="D264" s="365">
        <v>1018</v>
      </c>
      <c r="E264" s="371" t="s">
        <v>397</v>
      </c>
      <c r="F264" s="371" t="s">
        <v>398</v>
      </c>
      <c r="G264" s="55">
        <v>37257</v>
      </c>
      <c r="H264" s="56" t="str">
        <f t="shared" si="351"/>
        <v>22 AÑOS</v>
      </c>
      <c r="I264" s="57">
        <v>6922.6423425983212</v>
      </c>
      <c r="J264" s="58"/>
      <c r="K264" s="58"/>
      <c r="L264" s="59"/>
      <c r="M264" s="60">
        <v>4.0000000000000002E-4</v>
      </c>
      <c r="N264" s="61">
        <f>I264*0.04</f>
        <v>276.90569370393285</v>
      </c>
      <c r="O264" s="58">
        <f t="shared" si="339"/>
        <v>7199.5480363022543</v>
      </c>
      <c r="P264" s="61">
        <f t="shared" si="321"/>
        <v>14399.096072604509</v>
      </c>
      <c r="Q264" s="61">
        <f t="shared" si="322"/>
        <v>10799.322054453381</v>
      </c>
      <c r="R264" s="61">
        <f t="shared" si="323"/>
        <v>3599.7740181511272</v>
      </c>
      <c r="S264" s="61">
        <f t="shared" si="324"/>
        <v>479.96986908681697</v>
      </c>
      <c r="T264" s="58">
        <f t="shared" si="325"/>
        <v>550.95741272475721</v>
      </c>
      <c r="U264" s="61">
        <f t="shared" si="326"/>
        <v>5399.6610272266907</v>
      </c>
      <c r="V264" s="58">
        <f t="shared" si="327"/>
        <v>1799.8870090755636</v>
      </c>
      <c r="W264" s="101">
        <v>7.4999999999999997E-2</v>
      </c>
      <c r="X264" s="63">
        <f t="shared" si="328"/>
        <v>1079.932205445338</v>
      </c>
      <c r="Y264" s="61">
        <v>862.00550352452785</v>
      </c>
      <c r="Z264" s="61">
        <v>0</v>
      </c>
      <c r="AA264" s="61">
        <f t="shared" si="329"/>
        <v>1799.8870090755636</v>
      </c>
      <c r="AB264" s="61">
        <f t="shared" si="330"/>
        <v>359.97740181511273</v>
      </c>
      <c r="AC264" s="61">
        <v>2313.1806583470843</v>
      </c>
      <c r="AD264" s="61">
        <v>1444.0869266222248</v>
      </c>
      <c r="AE264" s="61">
        <v>853.98398972337372</v>
      </c>
      <c r="AF264" s="61">
        <v>0</v>
      </c>
      <c r="AG264" s="61">
        <f t="shared" si="331"/>
        <v>496.76881450485547</v>
      </c>
      <c r="AH264" s="64"/>
      <c r="AI264" s="64"/>
      <c r="AJ264" s="365">
        <v>40</v>
      </c>
      <c r="AK264" s="372" t="s">
        <v>66</v>
      </c>
      <c r="AL264" s="365">
        <v>1018</v>
      </c>
      <c r="AM264" s="371" t="s">
        <v>397</v>
      </c>
      <c r="AN264" s="371" t="s">
        <v>398</v>
      </c>
      <c r="AO264" s="401">
        <f t="shared" si="358"/>
        <v>129591.86465344057</v>
      </c>
      <c r="AP264" s="368">
        <f t="shared" si="358"/>
        <v>43197.288217813526</v>
      </c>
      <c r="AQ264" s="368">
        <f t="shared" si="359"/>
        <v>12959.186465344057</v>
      </c>
      <c r="AR264" s="368">
        <f t="shared" si="359"/>
        <v>10344.066042294335</v>
      </c>
      <c r="AS264" s="368">
        <f t="shared" si="359"/>
        <v>0</v>
      </c>
      <c r="AT264" s="368">
        <f t="shared" si="359"/>
        <v>21598.644108906763</v>
      </c>
      <c r="AU264" s="368">
        <f t="shared" si="359"/>
        <v>4319.728821781353</v>
      </c>
      <c r="AV264" s="368">
        <f t="shared" si="359"/>
        <v>27758.167900165012</v>
      </c>
      <c r="AW264" s="368">
        <f t="shared" si="359"/>
        <v>17329.043119466696</v>
      </c>
      <c r="AX264" s="368">
        <f t="shared" si="359"/>
        <v>10247.807876680485</v>
      </c>
      <c r="AY264" s="368">
        <f t="shared" si="359"/>
        <v>0</v>
      </c>
      <c r="AZ264" s="368">
        <f t="shared" si="359"/>
        <v>5961.2257740582654</v>
      </c>
      <c r="BB264" s="64"/>
      <c r="BC264" s="66"/>
      <c r="BD264" s="66"/>
      <c r="BE264" s="66"/>
    </row>
    <row r="265" spans="2:57" s="364" customFormat="1" ht="21" customHeight="1" x14ac:dyDescent="0.2">
      <c r="B265" s="365">
        <v>41</v>
      </c>
      <c r="C265" s="372" t="s">
        <v>66</v>
      </c>
      <c r="D265" s="365">
        <v>9015</v>
      </c>
      <c r="E265" s="371" t="s">
        <v>399</v>
      </c>
      <c r="F265" s="371" t="s">
        <v>400</v>
      </c>
      <c r="G265" s="55">
        <v>36130</v>
      </c>
      <c r="H265" s="56" t="str">
        <f t="shared" si="351"/>
        <v>26 AÑOS</v>
      </c>
      <c r="I265" s="57">
        <v>7837.6854741288098</v>
      </c>
      <c r="J265" s="58"/>
      <c r="K265" s="58"/>
      <c r="L265" s="59"/>
      <c r="M265" s="60">
        <v>4.0000000000000002E-4</v>
      </c>
      <c r="N265" s="61">
        <f>I265*0.04</f>
        <v>313.5074189651524</v>
      </c>
      <c r="O265" s="58">
        <f t="shared" si="339"/>
        <v>8151.1928930939621</v>
      </c>
      <c r="P265" s="61">
        <f t="shared" si="321"/>
        <v>16302.385786187924</v>
      </c>
      <c r="Q265" s="61">
        <f t="shared" si="322"/>
        <v>12226.789339640944</v>
      </c>
      <c r="R265" s="61">
        <f t="shared" si="323"/>
        <v>4075.596446546981</v>
      </c>
      <c r="S265" s="61">
        <f t="shared" si="324"/>
        <v>543.41285953959743</v>
      </c>
      <c r="T265" s="58">
        <f t="shared" si="325"/>
        <v>623.78362146550387</v>
      </c>
      <c r="U265" s="61">
        <f t="shared" si="326"/>
        <v>6113.3946698204718</v>
      </c>
      <c r="V265" s="58">
        <f t="shared" si="327"/>
        <v>2037.7982232734905</v>
      </c>
      <c r="W265" s="101">
        <v>7.4999999999999997E-2</v>
      </c>
      <c r="X265" s="63">
        <f t="shared" si="328"/>
        <v>1222.6789339640943</v>
      </c>
      <c r="Y265" s="61">
        <v>1081.2430943425509</v>
      </c>
      <c r="Z265" s="61">
        <v>0</v>
      </c>
      <c r="AA265" s="61">
        <f t="shared" si="329"/>
        <v>2037.7982232734903</v>
      </c>
      <c r="AB265" s="61">
        <f t="shared" si="330"/>
        <v>407.5596446546981</v>
      </c>
      <c r="AC265" s="61">
        <v>2546.4514018055643</v>
      </c>
      <c r="AD265" s="61">
        <v>1634.9680610421588</v>
      </c>
      <c r="AE265" s="61">
        <v>966.86461327153108</v>
      </c>
      <c r="AF265" s="61">
        <v>0</v>
      </c>
      <c r="AG265" s="61">
        <f t="shared" si="331"/>
        <v>562.43230962348343</v>
      </c>
      <c r="AH265" s="64"/>
      <c r="AI265" s="64"/>
      <c r="AJ265" s="365">
        <v>41</v>
      </c>
      <c r="AK265" s="372" t="s">
        <v>66</v>
      </c>
      <c r="AL265" s="365">
        <v>9015</v>
      </c>
      <c r="AM265" s="371" t="s">
        <v>399</v>
      </c>
      <c r="AN265" s="371" t="s">
        <v>400</v>
      </c>
      <c r="AO265" s="401">
        <f t="shared" si="358"/>
        <v>146721.47207569133</v>
      </c>
      <c r="AP265" s="368">
        <f t="shared" si="358"/>
        <v>48907.157358563774</v>
      </c>
      <c r="AQ265" s="368">
        <f t="shared" si="359"/>
        <v>14672.147207569131</v>
      </c>
      <c r="AR265" s="368">
        <f t="shared" si="359"/>
        <v>12974.917132110611</v>
      </c>
      <c r="AS265" s="368">
        <f t="shared" si="359"/>
        <v>0</v>
      </c>
      <c r="AT265" s="368">
        <f t="shared" si="359"/>
        <v>24453.578679281884</v>
      </c>
      <c r="AU265" s="368">
        <f t="shared" si="359"/>
        <v>4890.7157358563773</v>
      </c>
      <c r="AV265" s="368">
        <f t="shared" si="359"/>
        <v>30557.416821666771</v>
      </c>
      <c r="AW265" s="368">
        <f t="shared" si="359"/>
        <v>19619.616732505907</v>
      </c>
      <c r="AX265" s="368">
        <f t="shared" si="359"/>
        <v>11602.375359258373</v>
      </c>
      <c r="AY265" s="368">
        <f t="shared" si="359"/>
        <v>0</v>
      </c>
      <c r="AZ265" s="368">
        <f t="shared" si="359"/>
        <v>6749.1877154818012</v>
      </c>
      <c r="BB265" s="64"/>
      <c r="BC265" s="66"/>
      <c r="BD265" s="66"/>
      <c r="BE265" s="66"/>
    </row>
    <row r="266" spans="2:57" s="364" customFormat="1" ht="21" customHeight="1" x14ac:dyDescent="0.2">
      <c r="B266" s="365">
        <v>42</v>
      </c>
      <c r="C266" s="372" t="s">
        <v>66</v>
      </c>
      <c r="D266" s="365">
        <v>9112</v>
      </c>
      <c r="E266" s="371" t="s">
        <v>401</v>
      </c>
      <c r="F266" s="371" t="s">
        <v>402</v>
      </c>
      <c r="G266" s="55">
        <v>43430</v>
      </c>
      <c r="H266" s="56" t="str">
        <f t="shared" si="351"/>
        <v>6 AÑOS</v>
      </c>
      <c r="I266" s="57">
        <v>5451.5754183648905</v>
      </c>
      <c r="J266" s="58">
        <v>7012.1181703372822</v>
      </c>
      <c r="K266" s="172">
        <f>J266-I266</f>
        <v>1560.5427519723917</v>
      </c>
      <c r="L266" s="173">
        <f>K266*100/I266</f>
        <v>28.625537247734719</v>
      </c>
      <c r="M266" s="60">
        <v>2.8630000000000001E-3</v>
      </c>
      <c r="N266" s="61">
        <f>I266*0.2863</f>
        <v>1560.7860422778681</v>
      </c>
      <c r="O266" s="58">
        <f t="shared" si="339"/>
        <v>7012.3614606427582</v>
      </c>
      <c r="P266" s="61">
        <f t="shared" si="321"/>
        <v>14024.722921285516</v>
      </c>
      <c r="Q266" s="61">
        <f t="shared" si="322"/>
        <v>10518.542190964137</v>
      </c>
      <c r="R266" s="61">
        <f t="shared" si="323"/>
        <v>3506.1807303213791</v>
      </c>
      <c r="S266" s="61">
        <f t="shared" si="324"/>
        <v>467.49076404285057</v>
      </c>
      <c r="T266" s="58">
        <f t="shared" si="325"/>
        <v>536.63264804478808</v>
      </c>
      <c r="U266" s="61">
        <f t="shared" si="326"/>
        <v>5259.2710954820686</v>
      </c>
      <c r="V266" s="58">
        <f t="shared" si="327"/>
        <v>1753.0903651606895</v>
      </c>
      <c r="W266" s="101">
        <v>2.5000000000000001E-2</v>
      </c>
      <c r="X266" s="63">
        <f t="shared" si="328"/>
        <v>350.61807303213794</v>
      </c>
      <c r="Y266" s="61">
        <v>831.41694939904437</v>
      </c>
      <c r="Z266" s="61">
        <v>0</v>
      </c>
      <c r="AA266" s="61">
        <f t="shared" si="329"/>
        <v>1753.0903651606895</v>
      </c>
      <c r="AB266" s="61">
        <f t="shared" si="330"/>
        <v>350.618073032138</v>
      </c>
      <c r="AC266" s="61">
        <v>2267.2967854317753</v>
      </c>
      <c r="AD266" s="61">
        <v>1406.5410021577916</v>
      </c>
      <c r="AE266" s="61">
        <v>831.78060446942152</v>
      </c>
      <c r="AF266" s="61">
        <v>0</v>
      </c>
      <c r="AG266" s="61">
        <f t="shared" si="331"/>
        <v>483.85294078435027</v>
      </c>
      <c r="AH266" s="64"/>
      <c r="AI266" s="64"/>
      <c r="AJ266" s="365">
        <v>42</v>
      </c>
      <c r="AK266" s="372" t="s">
        <v>66</v>
      </c>
      <c r="AL266" s="365">
        <v>9112</v>
      </c>
      <c r="AM266" s="371" t="s">
        <v>401</v>
      </c>
      <c r="AN266" s="371" t="s">
        <v>402</v>
      </c>
      <c r="AO266" s="401">
        <f t="shared" si="358"/>
        <v>126222.50629156965</v>
      </c>
      <c r="AP266" s="368">
        <f t="shared" si="358"/>
        <v>42074.168763856549</v>
      </c>
      <c r="AQ266" s="368">
        <f t="shared" si="359"/>
        <v>4207.4168763856551</v>
      </c>
      <c r="AR266" s="368">
        <f t="shared" si="359"/>
        <v>9977.0033927885324</v>
      </c>
      <c r="AS266" s="368">
        <f t="shared" si="359"/>
        <v>0</v>
      </c>
      <c r="AT266" s="368">
        <f t="shared" si="359"/>
        <v>21037.084381928275</v>
      </c>
      <c r="AU266" s="368">
        <f t="shared" si="359"/>
        <v>4207.416876385656</v>
      </c>
      <c r="AV266" s="368">
        <f t="shared" si="359"/>
        <v>27207.561425181302</v>
      </c>
      <c r="AW266" s="368">
        <f t="shared" si="359"/>
        <v>16878.492025893498</v>
      </c>
      <c r="AX266" s="368">
        <f t="shared" si="359"/>
        <v>9981.3672536330578</v>
      </c>
      <c r="AY266" s="368">
        <f t="shared" si="359"/>
        <v>0</v>
      </c>
      <c r="AZ266" s="368">
        <f t="shared" si="359"/>
        <v>5806.2352894122032</v>
      </c>
      <c r="BA266" s="406"/>
      <c r="BB266" s="183"/>
      <c r="BC266" s="184"/>
      <c r="BD266" s="184"/>
      <c r="BE266" s="184"/>
    </row>
    <row r="267" spans="2:57" s="364" customFormat="1" ht="21" customHeight="1" x14ac:dyDescent="0.2">
      <c r="B267" s="365">
        <v>43</v>
      </c>
      <c r="C267" s="372" t="s">
        <v>66</v>
      </c>
      <c r="D267" s="365">
        <v>14035</v>
      </c>
      <c r="E267" s="371" t="s">
        <v>403</v>
      </c>
      <c r="F267" s="79" t="s">
        <v>404</v>
      </c>
      <c r="G267" s="55">
        <v>42278</v>
      </c>
      <c r="H267" s="56" t="str">
        <f t="shared" si="351"/>
        <v>9 AÑOS</v>
      </c>
      <c r="I267" s="57">
        <v>6922.5634148903409</v>
      </c>
      <c r="J267" s="58"/>
      <c r="K267" s="58"/>
      <c r="L267" s="59"/>
      <c r="M267" s="60">
        <v>4.0000000000000002E-4</v>
      </c>
      <c r="N267" s="61">
        <f>I267*0.04</f>
        <v>276.90253659561364</v>
      </c>
      <c r="O267" s="58">
        <f t="shared" si="339"/>
        <v>7199.465951485955</v>
      </c>
      <c r="P267" s="61">
        <f t="shared" si="321"/>
        <v>14398.93190297191</v>
      </c>
      <c r="Q267" s="61">
        <f t="shared" si="322"/>
        <v>10799.198927228932</v>
      </c>
      <c r="R267" s="61">
        <f t="shared" si="323"/>
        <v>3599.7329757429775</v>
      </c>
      <c r="S267" s="61">
        <f t="shared" si="324"/>
        <v>479.96439676573033</v>
      </c>
      <c r="T267" s="58">
        <f t="shared" si="325"/>
        <v>550.95113104738175</v>
      </c>
      <c r="U267" s="61">
        <f t="shared" si="326"/>
        <v>5399.599463614466</v>
      </c>
      <c r="V267" s="58">
        <f t="shared" si="327"/>
        <v>1799.8664878714887</v>
      </c>
      <c r="W267" s="101">
        <v>2.5000000000000001E-2</v>
      </c>
      <c r="X267" s="63">
        <f t="shared" si="328"/>
        <v>359.97329757429776</v>
      </c>
      <c r="Y267" s="61">
        <v>861.99210728250773</v>
      </c>
      <c r="Z267" s="61">
        <v>0</v>
      </c>
      <c r="AA267" s="61">
        <f t="shared" si="329"/>
        <v>1799.8664878714887</v>
      </c>
      <c r="AB267" s="61">
        <f t="shared" si="330"/>
        <v>359.97329757429776</v>
      </c>
      <c r="AC267" s="61">
        <v>2313.1605374101732</v>
      </c>
      <c r="AD267" s="61">
        <v>1444.0704620317399</v>
      </c>
      <c r="AE267" s="61">
        <v>853.97425312344171</v>
      </c>
      <c r="AF267" s="61">
        <v>0</v>
      </c>
      <c r="AG267" s="61">
        <f t="shared" si="331"/>
        <v>496.76315065253084</v>
      </c>
      <c r="AH267" s="64"/>
      <c r="AI267" s="64"/>
      <c r="AJ267" s="365">
        <v>43</v>
      </c>
      <c r="AK267" s="372" t="s">
        <v>66</v>
      </c>
      <c r="AL267" s="365">
        <v>14035</v>
      </c>
      <c r="AM267" s="371" t="s">
        <v>403</v>
      </c>
      <c r="AN267" s="79" t="s">
        <v>404</v>
      </c>
      <c r="AO267" s="401">
        <f t="shared" si="358"/>
        <v>129590.38712674718</v>
      </c>
      <c r="AP267" s="368">
        <f t="shared" si="358"/>
        <v>43196.795708915728</v>
      </c>
      <c r="AQ267" s="368">
        <f t="shared" si="359"/>
        <v>4319.6795708915733</v>
      </c>
      <c r="AR267" s="368">
        <f t="shared" si="359"/>
        <v>10343.905287390093</v>
      </c>
      <c r="AS267" s="368">
        <f t="shared" si="359"/>
        <v>0</v>
      </c>
      <c r="AT267" s="368">
        <f t="shared" si="359"/>
        <v>21598.397854457864</v>
      </c>
      <c r="AU267" s="368">
        <f t="shared" si="359"/>
        <v>4319.6795708915733</v>
      </c>
      <c r="AV267" s="368">
        <f t="shared" si="359"/>
        <v>27757.92644892208</v>
      </c>
      <c r="AW267" s="368">
        <f t="shared" si="359"/>
        <v>17328.845544380878</v>
      </c>
      <c r="AX267" s="368">
        <f t="shared" si="359"/>
        <v>10247.691037481301</v>
      </c>
      <c r="AY267" s="368">
        <f t="shared" si="359"/>
        <v>0</v>
      </c>
      <c r="AZ267" s="368">
        <f t="shared" si="359"/>
        <v>5961.1578078303701</v>
      </c>
      <c r="BB267" s="64"/>
      <c r="BC267" s="66"/>
      <c r="BD267" s="66"/>
      <c r="BE267" s="66"/>
    </row>
    <row r="268" spans="2:57" s="364" customFormat="1" ht="21" customHeight="1" x14ac:dyDescent="0.2">
      <c r="B268" s="365">
        <v>44</v>
      </c>
      <c r="C268" s="372" t="s">
        <v>66</v>
      </c>
      <c r="D268" s="396">
        <v>9144</v>
      </c>
      <c r="E268" s="410" t="s">
        <v>405</v>
      </c>
      <c r="F268" s="371" t="s">
        <v>406</v>
      </c>
      <c r="G268" s="55">
        <v>42831</v>
      </c>
      <c r="H268" s="56" t="str">
        <f t="shared" si="351"/>
        <v>7 AÑOS</v>
      </c>
      <c r="I268" s="57">
        <v>6063.7999600443072</v>
      </c>
      <c r="J268" s="58">
        <v>8595.27</v>
      </c>
      <c r="K268" s="172">
        <f>J268-I268</f>
        <v>2531.4700399556932</v>
      </c>
      <c r="L268" s="173">
        <f>K268*100/I268</f>
        <v>41.747255131041562</v>
      </c>
      <c r="M268" s="60">
        <v>4.1749999999999999E-3</v>
      </c>
      <c r="N268" s="61">
        <f>I268*0.4175</f>
        <v>2531.636483318498</v>
      </c>
      <c r="O268" s="58">
        <f t="shared" si="339"/>
        <v>8595.4364433628052</v>
      </c>
      <c r="P268" s="61">
        <f t="shared" si="321"/>
        <v>17190.87288672561</v>
      </c>
      <c r="Q268" s="61">
        <f t="shared" si="322"/>
        <v>12893.154665044207</v>
      </c>
      <c r="R268" s="61">
        <f t="shared" si="323"/>
        <v>4297.7182216814026</v>
      </c>
      <c r="S268" s="61">
        <f t="shared" si="324"/>
        <v>573.02909622418701</v>
      </c>
      <c r="T268" s="58">
        <f t="shared" si="325"/>
        <v>657.78009955574419</v>
      </c>
      <c r="U268" s="61">
        <f t="shared" si="326"/>
        <v>6446.5773325221035</v>
      </c>
      <c r="V268" s="58">
        <f t="shared" si="327"/>
        <v>2148.8591108407013</v>
      </c>
      <c r="W268" s="101">
        <v>2.5000000000000001E-2</v>
      </c>
      <c r="X268" s="63">
        <f t="shared" si="328"/>
        <v>429.77182216814026</v>
      </c>
      <c r="Y268" s="61">
        <v>1190.1099999999999</v>
      </c>
      <c r="Z268" s="61">
        <v>0</v>
      </c>
      <c r="AA268" s="61">
        <f t="shared" si="329"/>
        <v>2148.8591108407013</v>
      </c>
      <c r="AB268" s="61">
        <f t="shared" si="330"/>
        <v>429.77182216814026</v>
      </c>
      <c r="AC268" s="61">
        <v>2655.3460409225272</v>
      </c>
      <c r="AD268" s="61">
        <v>1724.0745299405833</v>
      </c>
      <c r="AE268" s="61">
        <v>1019.5591543114035</v>
      </c>
      <c r="AF268" s="61">
        <v>0</v>
      </c>
      <c r="AG268" s="61">
        <f t="shared" si="331"/>
        <v>593.08511459203351</v>
      </c>
      <c r="AH268" s="64"/>
      <c r="AI268" s="64"/>
      <c r="AJ268" s="365">
        <v>44</v>
      </c>
      <c r="AK268" s="372" t="s">
        <v>66</v>
      </c>
      <c r="AL268" s="396">
        <v>9144</v>
      </c>
      <c r="AM268" s="410" t="s">
        <v>405</v>
      </c>
      <c r="AN268" s="371" t="s">
        <v>406</v>
      </c>
      <c r="AO268" s="401">
        <f t="shared" si="358"/>
        <v>154717.8559805305</v>
      </c>
      <c r="AP268" s="368">
        <f t="shared" si="358"/>
        <v>51572.618660176828</v>
      </c>
      <c r="AQ268" s="368">
        <f t="shared" si="359"/>
        <v>5157.2618660176831</v>
      </c>
      <c r="AR268" s="368">
        <f t="shared" si="359"/>
        <v>14281.32</v>
      </c>
      <c r="AS268" s="368">
        <f t="shared" si="359"/>
        <v>0</v>
      </c>
      <c r="AT268" s="368">
        <f t="shared" si="359"/>
        <v>25786.309330088414</v>
      </c>
      <c r="AU268" s="368">
        <f t="shared" si="359"/>
        <v>5157.2618660176831</v>
      </c>
      <c r="AV268" s="368">
        <f t="shared" si="359"/>
        <v>31864.152491070327</v>
      </c>
      <c r="AW268" s="368">
        <f t="shared" si="359"/>
        <v>20688.894359286998</v>
      </c>
      <c r="AX268" s="368">
        <f t="shared" si="359"/>
        <v>12234.709851736843</v>
      </c>
      <c r="AY268" s="368">
        <f t="shared" si="359"/>
        <v>0</v>
      </c>
      <c r="AZ268" s="368">
        <f t="shared" si="359"/>
        <v>7117.0213751044021</v>
      </c>
      <c r="BB268" s="64"/>
      <c r="BC268" s="66"/>
      <c r="BD268" s="66"/>
      <c r="BE268" s="66"/>
    </row>
    <row r="269" spans="2:57" s="364" customFormat="1" ht="21" customHeight="1" x14ac:dyDescent="0.2">
      <c r="B269" s="365">
        <v>45</v>
      </c>
      <c r="C269" s="372" t="s">
        <v>66</v>
      </c>
      <c r="D269" s="365">
        <v>11031</v>
      </c>
      <c r="E269" s="371" t="s">
        <v>407</v>
      </c>
      <c r="F269" s="371" t="s">
        <v>408</v>
      </c>
      <c r="G269" s="55">
        <v>36192</v>
      </c>
      <c r="H269" s="56" t="str">
        <f t="shared" si="351"/>
        <v>25 AÑOS</v>
      </c>
      <c r="I269" s="57">
        <v>5744.5518493346244</v>
      </c>
      <c r="J269" s="58">
        <v>6732.67</v>
      </c>
      <c r="K269" s="108">
        <f>J269-I269</f>
        <v>988.11815066537565</v>
      </c>
      <c r="L269" s="173">
        <f>K269*100/I269</f>
        <v>17.200961477609894</v>
      </c>
      <c r="M269" s="60">
        <v>1.72E-3</v>
      </c>
      <c r="N269" s="61">
        <f>I269*0.172009</f>
        <v>988.11461905219937</v>
      </c>
      <c r="O269" s="58">
        <f t="shared" si="339"/>
        <v>6732.6664683868239</v>
      </c>
      <c r="P269" s="61">
        <f t="shared" si="321"/>
        <v>13465.332936773648</v>
      </c>
      <c r="Q269" s="61">
        <f t="shared" si="322"/>
        <v>10098.999702580237</v>
      </c>
      <c r="R269" s="61">
        <f t="shared" si="323"/>
        <v>3366.333234193412</v>
      </c>
      <c r="S269" s="61">
        <f t="shared" si="324"/>
        <v>448.84443122578824</v>
      </c>
      <c r="T269" s="58">
        <f t="shared" si="325"/>
        <v>515.22852260408229</v>
      </c>
      <c r="U269" s="61">
        <f t="shared" si="326"/>
        <v>5049.4998512901184</v>
      </c>
      <c r="V269" s="58">
        <f t="shared" si="327"/>
        <v>1683.166617096706</v>
      </c>
      <c r="W269" s="101">
        <v>7.4999999999999997E-2</v>
      </c>
      <c r="X269" s="63">
        <f t="shared" si="328"/>
        <v>1009.8999702580236</v>
      </c>
      <c r="Y269" s="61">
        <v>785.81</v>
      </c>
      <c r="Z269" s="61">
        <v>0</v>
      </c>
      <c r="AA269" s="61">
        <f t="shared" si="329"/>
        <v>1683.1666170967057</v>
      </c>
      <c r="AB269" s="61">
        <f t="shared" si="330"/>
        <v>336.6333234193412</v>
      </c>
      <c r="AC269" s="61">
        <v>2198.7371959322072</v>
      </c>
      <c r="AD269" s="61">
        <v>1350.4399582591086</v>
      </c>
      <c r="AE269" s="61">
        <v>798.60435142466508</v>
      </c>
      <c r="AF269" s="61">
        <v>0</v>
      </c>
      <c r="AG269" s="61">
        <f t="shared" si="331"/>
        <v>464.55398631869082</v>
      </c>
      <c r="AH269" s="64"/>
      <c r="AI269" s="64"/>
      <c r="AJ269" s="365">
        <v>45</v>
      </c>
      <c r="AK269" s="372" t="s">
        <v>66</v>
      </c>
      <c r="AL269" s="365">
        <v>11031</v>
      </c>
      <c r="AM269" s="371" t="s">
        <v>407</v>
      </c>
      <c r="AN269" s="371" t="s">
        <v>408</v>
      </c>
      <c r="AO269" s="368">
        <f t="shared" ref="AO269:AP269" si="360">Q269*3</f>
        <v>30296.99910774071</v>
      </c>
      <c r="AP269" s="368">
        <f t="shared" si="360"/>
        <v>10098.999702580237</v>
      </c>
      <c r="AQ269" s="368">
        <f t="shared" ref="AQ269:AZ269" si="361">X269*3</f>
        <v>3029.6999107740708</v>
      </c>
      <c r="AR269" s="368">
        <f t="shared" si="361"/>
        <v>2357.4299999999998</v>
      </c>
      <c r="AS269" s="368">
        <f t="shared" si="361"/>
        <v>0</v>
      </c>
      <c r="AT269" s="368">
        <f t="shared" si="361"/>
        <v>5049.4998512901175</v>
      </c>
      <c r="AU269" s="368">
        <f t="shared" si="361"/>
        <v>1009.8999702580236</v>
      </c>
      <c r="AV269" s="368">
        <f t="shared" si="361"/>
        <v>6596.2115877966216</v>
      </c>
      <c r="AW269" s="368">
        <f t="shared" si="361"/>
        <v>4051.3198747773258</v>
      </c>
      <c r="AX269" s="368">
        <f t="shared" si="361"/>
        <v>2395.8130542739955</v>
      </c>
      <c r="AY269" s="368">
        <f t="shared" si="361"/>
        <v>0</v>
      </c>
      <c r="AZ269" s="368">
        <f t="shared" si="361"/>
        <v>1393.6619589560723</v>
      </c>
      <c r="BB269" s="64"/>
      <c r="BC269" s="66"/>
      <c r="BD269" s="66"/>
      <c r="BE269" s="66"/>
    </row>
    <row r="270" spans="2:57" s="364" customFormat="1" ht="21" customHeight="1" x14ac:dyDescent="0.2">
      <c r="B270" s="365">
        <v>46</v>
      </c>
      <c r="C270" s="372" t="s">
        <v>66</v>
      </c>
      <c r="D270" s="365">
        <v>9134</v>
      </c>
      <c r="E270" s="372" t="s">
        <v>409</v>
      </c>
      <c r="F270" s="372" t="s">
        <v>408</v>
      </c>
      <c r="G270" s="384">
        <v>44927</v>
      </c>
      <c r="H270" s="56" t="str">
        <f t="shared" si="351"/>
        <v>1 AÑOS</v>
      </c>
      <c r="I270" s="57">
        <v>4560.4727555829668</v>
      </c>
      <c r="J270" s="58"/>
      <c r="K270" s="58"/>
      <c r="L270" s="59"/>
      <c r="M270" s="60">
        <v>4.0000000000000002E-4</v>
      </c>
      <c r="N270" s="61">
        <f>I270*0.04</f>
        <v>182.41891022331868</v>
      </c>
      <c r="O270" s="58">
        <f t="shared" si="339"/>
        <v>4742.8916658062853</v>
      </c>
      <c r="P270" s="61">
        <f t="shared" si="321"/>
        <v>9485.7833316125707</v>
      </c>
      <c r="Q270" s="61">
        <f t="shared" si="322"/>
        <v>7114.3374987094285</v>
      </c>
      <c r="R270" s="61">
        <f t="shared" si="323"/>
        <v>2371.4458329031427</v>
      </c>
      <c r="S270" s="61">
        <f t="shared" si="324"/>
        <v>316.19277772041903</v>
      </c>
      <c r="T270" s="58">
        <f t="shared" si="325"/>
        <v>362.95768954526898</v>
      </c>
      <c r="U270" s="61">
        <f t="shared" si="326"/>
        <v>3557.1687493547142</v>
      </c>
      <c r="V270" s="58">
        <f t="shared" si="327"/>
        <v>1185.7229164515713</v>
      </c>
      <c r="W270" s="101">
        <v>0</v>
      </c>
      <c r="X270" s="63">
        <f t="shared" si="328"/>
        <v>0</v>
      </c>
      <c r="Y270" s="61">
        <v>246.27918385958577</v>
      </c>
      <c r="Z270" s="61">
        <v>0</v>
      </c>
      <c r="AA270" s="61">
        <f t="shared" si="329"/>
        <v>1185.7229164515713</v>
      </c>
      <c r="AB270" s="61">
        <f t="shared" si="330"/>
        <v>237.14458329031427</v>
      </c>
      <c r="AC270" s="61">
        <v>1710.995868635101</v>
      </c>
      <c r="AD270" s="61">
        <v>887.19562843997824</v>
      </c>
      <c r="AE270" s="61">
        <v>562.58441879516693</v>
      </c>
      <c r="AF270" s="61">
        <v>0</v>
      </c>
      <c r="AG270" s="61">
        <f t="shared" si="331"/>
        <v>327.2595249406337</v>
      </c>
      <c r="AH270" s="64"/>
      <c r="AI270" s="64"/>
      <c r="AJ270" s="365">
        <v>46</v>
      </c>
      <c r="AK270" s="372" t="s">
        <v>66</v>
      </c>
      <c r="AL270" s="365">
        <v>9134</v>
      </c>
      <c r="AM270" s="372" t="s">
        <v>409</v>
      </c>
      <c r="AN270" s="372" t="s">
        <v>408</v>
      </c>
      <c r="AO270" s="401">
        <f t="shared" ref="AO270:AP273" si="362">Q270*12</f>
        <v>85372.049984513142</v>
      </c>
      <c r="AP270" s="368">
        <f t="shared" si="362"/>
        <v>28457.349994837714</v>
      </c>
      <c r="AQ270" s="368">
        <f t="shared" ref="AQ270:AZ273" si="363">X270*12</f>
        <v>0</v>
      </c>
      <c r="AR270" s="368">
        <f t="shared" si="363"/>
        <v>2955.350206315029</v>
      </c>
      <c r="AS270" s="368">
        <f t="shared" si="363"/>
        <v>0</v>
      </c>
      <c r="AT270" s="368">
        <f t="shared" si="363"/>
        <v>14228.674997418857</v>
      </c>
      <c r="AU270" s="368">
        <f t="shared" si="363"/>
        <v>2845.7349994837714</v>
      </c>
      <c r="AV270" s="368">
        <f t="shared" si="363"/>
        <v>20531.950423621212</v>
      </c>
      <c r="AW270" s="368">
        <f t="shared" si="363"/>
        <v>10646.347541279738</v>
      </c>
      <c r="AX270" s="368">
        <f t="shared" si="363"/>
        <v>6751.0130255420027</v>
      </c>
      <c r="AY270" s="368">
        <f t="shared" si="363"/>
        <v>0</v>
      </c>
      <c r="AZ270" s="368">
        <f t="shared" si="363"/>
        <v>3927.1142992876044</v>
      </c>
      <c r="BB270" s="64"/>
      <c r="BC270" s="66"/>
      <c r="BD270" s="66"/>
      <c r="BE270" s="66"/>
    </row>
    <row r="271" spans="2:57" s="364" customFormat="1" ht="21" customHeight="1" x14ac:dyDescent="0.2">
      <c r="B271" s="365">
        <v>47</v>
      </c>
      <c r="C271" s="372" t="s">
        <v>66</v>
      </c>
      <c r="D271" s="365"/>
      <c r="E271" s="411" t="s">
        <v>55</v>
      </c>
      <c r="F271" s="371" t="s">
        <v>410</v>
      </c>
      <c r="G271" s="55">
        <v>38733</v>
      </c>
      <c r="H271" s="56" t="str">
        <f t="shared" si="351"/>
        <v>18 AÑOS</v>
      </c>
      <c r="I271" s="57">
        <v>6473.7189041991969</v>
      </c>
      <c r="J271" s="58"/>
      <c r="K271" s="58"/>
      <c r="L271" s="59"/>
      <c r="M271" s="60">
        <v>4.0000000000000002E-4</v>
      </c>
      <c r="N271" s="61">
        <f>I271*0.04</f>
        <v>258.94875616796787</v>
      </c>
      <c r="O271" s="58">
        <f t="shared" si="339"/>
        <v>6732.6676603671649</v>
      </c>
      <c r="P271" s="61">
        <f t="shared" si="321"/>
        <v>13465.33532073433</v>
      </c>
      <c r="Q271" s="61">
        <f t="shared" si="322"/>
        <v>10099.001490550747</v>
      </c>
      <c r="R271" s="61">
        <f t="shared" si="323"/>
        <v>3366.3338301835824</v>
      </c>
      <c r="S271" s="61">
        <f t="shared" si="324"/>
        <v>448.84451069114431</v>
      </c>
      <c r="T271" s="58">
        <f t="shared" si="325"/>
        <v>515.22861382236454</v>
      </c>
      <c r="U271" s="61">
        <f t="shared" si="326"/>
        <v>5049.5007452753734</v>
      </c>
      <c r="V271" s="58">
        <f t="shared" si="327"/>
        <v>1683.1669150917912</v>
      </c>
      <c r="W271" s="101">
        <v>7.4999999999999997E-2</v>
      </c>
      <c r="X271" s="63">
        <f t="shared" si="328"/>
        <v>1009.9001490550747</v>
      </c>
      <c r="Y271" s="61">
        <v>785.81062617192117</v>
      </c>
      <c r="Z271" s="61">
        <v>0</v>
      </c>
      <c r="AA271" s="61">
        <f t="shared" si="329"/>
        <v>1683.1669150917912</v>
      </c>
      <c r="AB271" s="61">
        <f t="shared" si="330"/>
        <v>336.63338301835824</v>
      </c>
      <c r="AC271" s="61">
        <v>2198.7371959322072</v>
      </c>
      <c r="AD271" s="61">
        <v>1350.4399582591086</v>
      </c>
      <c r="AE271" s="61">
        <v>798.60435142466508</v>
      </c>
      <c r="AF271" s="61">
        <v>0</v>
      </c>
      <c r="AG271" s="61">
        <f t="shared" si="331"/>
        <v>464.55406856533432</v>
      </c>
      <c r="AH271" s="64"/>
      <c r="AI271" s="64"/>
      <c r="AJ271" s="365">
        <v>47</v>
      </c>
      <c r="AK271" s="372" t="s">
        <v>66</v>
      </c>
      <c r="AL271" s="365"/>
      <c r="AM271" s="411" t="s">
        <v>55</v>
      </c>
      <c r="AN271" s="371" t="s">
        <v>410</v>
      </c>
      <c r="AO271" s="401">
        <f t="shared" si="362"/>
        <v>121188.01788660896</v>
      </c>
      <c r="AP271" s="368">
        <f t="shared" si="362"/>
        <v>40396.005962202988</v>
      </c>
      <c r="AQ271" s="368">
        <f t="shared" si="363"/>
        <v>12118.801788660898</v>
      </c>
      <c r="AR271" s="368">
        <f t="shared" si="363"/>
        <v>9429.7275140630536</v>
      </c>
      <c r="AS271" s="368">
        <f t="shared" si="363"/>
        <v>0</v>
      </c>
      <c r="AT271" s="368">
        <f t="shared" si="363"/>
        <v>20198.002981101494</v>
      </c>
      <c r="AU271" s="368">
        <f t="shared" si="363"/>
        <v>4039.6005962202989</v>
      </c>
      <c r="AV271" s="368">
        <f t="shared" si="363"/>
        <v>26384.846351186487</v>
      </c>
      <c r="AW271" s="368">
        <f t="shared" si="363"/>
        <v>16205.279499109303</v>
      </c>
      <c r="AX271" s="368">
        <f t="shared" si="363"/>
        <v>9583.2522170959819</v>
      </c>
      <c r="AY271" s="368">
        <f t="shared" si="363"/>
        <v>0</v>
      </c>
      <c r="AZ271" s="368">
        <f t="shared" si="363"/>
        <v>5574.6488227840118</v>
      </c>
      <c r="BB271" s="64"/>
      <c r="BC271" s="66"/>
      <c r="BD271" s="66"/>
      <c r="BE271" s="66"/>
    </row>
    <row r="272" spans="2:57" s="364" customFormat="1" ht="21" customHeight="1" x14ac:dyDescent="0.2">
      <c r="B272" s="365">
        <v>48</v>
      </c>
      <c r="C272" s="372" t="s">
        <v>66</v>
      </c>
      <c r="D272" s="365">
        <v>10049</v>
      </c>
      <c r="E272" s="112" t="s">
        <v>411</v>
      </c>
      <c r="F272" s="371" t="s">
        <v>412</v>
      </c>
      <c r="G272" s="55">
        <v>41369</v>
      </c>
      <c r="H272" s="56" t="str">
        <f t="shared" si="351"/>
        <v>11 AÑOS</v>
      </c>
      <c r="I272" s="57">
        <v>4076.534985486393</v>
      </c>
      <c r="J272" s="58"/>
      <c r="K272" s="58"/>
      <c r="L272" s="59"/>
      <c r="M272" s="60">
        <v>4.0000000000000002E-4</v>
      </c>
      <c r="N272" s="61">
        <f>I272*0.04</f>
        <v>163.06139941945571</v>
      </c>
      <c r="O272" s="58">
        <f t="shared" si="339"/>
        <v>4239.5963849058489</v>
      </c>
      <c r="P272" s="61">
        <f t="shared" si="321"/>
        <v>8479.1927698116979</v>
      </c>
      <c r="Q272" s="61">
        <f t="shared" si="322"/>
        <v>6359.3945773587729</v>
      </c>
      <c r="R272" s="61">
        <f t="shared" si="323"/>
        <v>2119.7981924529245</v>
      </c>
      <c r="S272" s="61">
        <f t="shared" si="324"/>
        <v>282.63975899372326</v>
      </c>
      <c r="T272" s="58">
        <f t="shared" si="325"/>
        <v>324.44217934889491</v>
      </c>
      <c r="U272" s="61">
        <f t="shared" si="326"/>
        <v>3179.6972886793865</v>
      </c>
      <c r="V272" s="58">
        <f t="shared" si="327"/>
        <v>1059.8990962264622</v>
      </c>
      <c r="W272" s="101">
        <v>0.05</v>
      </c>
      <c r="X272" s="63">
        <f t="shared" si="328"/>
        <v>423.95963849058489</v>
      </c>
      <c r="Y272" s="61">
        <v>128.74139401663444</v>
      </c>
      <c r="Z272" s="61">
        <v>0</v>
      </c>
      <c r="AA272" s="61">
        <f t="shared" si="329"/>
        <v>1059.8990962264622</v>
      </c>
      <c r="AB272" s="61">
        <f t="shared" si="330"/>
        <v>211.97981924529245</v>
      </c>
      <c r="AC272" s="61">
        <v>1591.968335240553</v>
      </c>
      <c r="AD272" s="61">
        <v>793.05024109147132</v>
      </c>
      <c r="AE272" s="61">
        <v>502.88537799078716</v>
      </c>
      <c r="AF272" s="61">
        <v>0</v>
      </c>
      <c r="AG272" s="61">
        <f t="shared" si="331"/>
        <v>292.53215055850353</v>
      </c>
      <c r="AH272" s="64"/>
      <c r="AI272" s="64"/>
      <c r="AJ272" s="365">
        <v>48</v>
      </c>
      <c r="AK272" s="372" t="s">
        <v>66</v>
      </c>
      <c r="AL272" s="365">
        <v>10049</v>
      </c>
      <c r="AM272" s="112" t="s">
        <v>411</v>
      </c>
      <c r="AN272" s="371" t="s">
        <v>412</v>
      </c>
      <c r="AO272" s="401">
        <f t="shared" si="362"/>
        <v>76312.734928305275</v>
      </c>
      <c r="AP272" s="368">
        <f t="shared" si="362"/>
        <v>25437.578309435092</v>
      </c>
      <c r="AQ272" s="368">
        <f t="shared" si="363"/>
        <v>5087.5156618870187</v>
      </c>
      <c r="AR272" s="368">
        <f t="shared" si="363"/>
        <v>1544.8967281996133</v>
      </c>
      <c r="AS272" s="368">
        <f t="shared" si="363"/>
        <v>0</v>
      </c>
      <c r="AT272" s="368">
        <f t="shared" si="363"/>
        <v>12718.789154717546</v>
      </c>
      <c r="AU272" s="368">
        <f t="shared" si="363"/>
        <v>2543.7578309435094</v>
      </c>
      <c r="AV272" s="368">
        <f t="shared" si="363"/>
        <v>19103.620022886636</v>
      </c>
      <c r="AW272" s="368">
        <f t="shared" si="363"/>
        <v>9516.6028930976554</v>
      </c>
      <c r="AX272" s="368">
        <f t="shared" si="363"/>
        <v>6034.6245358894457</v>
      </c>
      <c r="AY272" s="368">
        <f t="shared" si="363"/>
        <v>0</v>
      </c>
      <c r="AZ272" s="368">
        <f t="shared" si="363"/>
        <v>3510.3858067020424</v>
      </c>
      <c r="BB272" s="64"/>
      <c r="BC272" s="66"/>
      <c r="BD272" s="66"/>
      <c r="BE272" s="66"/>
    </row>
    <row r="273" spans="1:177" s="364" customFormat="1" ht="21" customHeight="1" x14ac:dyDescent="0.2">
      <c r="B273" s="365">
        <v>49</v>
      </c>
      <c r="C273" s="372" t="s">
        <v>66</v>
      </c>
      <c r="D273" s="365">
        <v>11185</v>
      </c>
      <c r="E273" s="372" t="s">
        <v>413</v>
      </c>
      <c r="F273" s="371" t="s">
        <v>414</v>
      </c>
      <c r="G273" s="384">
        <v>44531</v>
      </c>
      <c r="H273" s="56" t="str">
        <f t="shared" si="351"/>
        <v>3 AÑOS</v>
      </c>
      <c r="I273" s="57">
        <v>6063.9496877711581</v>
      </c>
      <c r="J273" s="58"/>
      <c r="K273" s="58"/>
      <c r="L273" s="59"/>
      <c r="M273" s="60">
        <v>4.0000000000000002E-4</v>
      </c>
      <c r="N273" s="61">
        <f>I273*0.04</f>
        <v>242.55798751084632</v>
      </c>
      <c r="O273" s="58">
        <f t="shared" si="339"/>
        <v>6306.5076752820041</v>
      </c>
      <c r="P273" s="61">
        <f t="shared" si="321"/>
        <v>12613.015350564008</v>
      </c>
      <c r="Q273" s="61">
        <f t="shared" si="322"/>
        <v>9459.7615129230071</v>
      </c>
      <c r="R273" s="61">
        <f t="shared" si="323"/>
        <v>3153.2538376410021</v>
      </c>
      <c r="S273" s="61">
        <f t="shared" si="324"/>
        <v>420.4338450188003</v>
      </c>
      <c r="T273" s="58">
        <f t="shared" si="325"/>
        <v>482.61601069708081</v>
      </c>
      <c r="U273" s="61">
        <f t="shared" si="326"/>
        <v>4729.8807564615036</v>
      </c>
      <c r="V273" s="58">
        <f t="shared" si="327"/>
        <v>1576.626918820501</v>
      </c>
      <c r="W273" s="101">
        <v>0</v>
      </c>
      <c r="X273" s="63">
        <f t="shared" si="328"/>
        <v>0</v>
      </c>
      <c r="Y273" s="61">
        <v>716.26131660602312</v>
      </c>
      <c r="Z273" s="61">
        <v>0</v>
      </c>
      <c r="AA273" s="61">
        <f t="shared" si="329"/>
        <v>1576.6269188205013</v>
      </c>
      <c r="AB273" s="61">
        <f t="shared" si="330"/>
        <v>315.3253837641002</v>
      </c>
      <c r="AC273" s="61">
        <v>2094.2752678887832</v>
      </c>
      <c r="AD273" s="61">
        <v>1264.9606948375838</v>
      </c>
      <c r="AE273" s="61">
        <v>748.05481658047529</v>
      </c>
      <c r="AF273" s="61">
        <v>0</v>
      </c>
      <c r="AG273" s="61">
        <f t="shared" si="331"/>
        <v>435.14902959445828</v>
      </c>
      <c r="AH273" s="64"/>
      <c r="AI273" s="64"/>
      <c r="AJ273" s="365">
        <v>49</v>
      </c>
      <c r="AK273" s="372" t="s">
        <v>66</v>
      </c>
      <c r="AL273" s="365">
        <v>11185</v>
      </c>
      <c r="AM273" s="372" t="s">
        <v>413</v>
      </c>
      <c r="AN273" s="371" t="s">
        <v>414</v>
      </c>
      <c r="AO273" s="401">
        <f t="shared" si="362"/>
        <v>113517.13815507609</v>
      </c>
      <c r="AP273" s="368">
        <f t="shared" si="362"/>
        <v>37839.046051692028</v>
      </c>
      <c r="AQ273" s="368">
        <f t="shared" si="363"/>
        <v>0</v>
      </c>
      <c r="AR273" s="368">
        <f t="shared" si="363"/>
        <v>8595.1357992722769</v>
      </c>
      <c r="AS273" s="368">
        <f t="shared" si="363"/>
        <v>0</v>
      </c>
      <c r="AT273" s="368">
        <f t="shared" si="363"/>
        <v>18919.523025846014</v>
      </c>
      <c r="AU273" s="368">
        <f t="shared" si="363"/>
        <v>3783.9046051692021</v>
      </c>
      <c r="AV273" s="368">
        <f t="shared" si="363"/>
        <v>25131.3032146654</v>
      </c>
      <c r="AW273" s="368">
        <f t="shared" si="363"/>
        <v>15179.528338051005</v>
      </c>
      <c r="AX273" s="368">
        <f t="shared" si="363"/>
        <v>8976.6577989657035</v>
      </c>
      <c r="AY273" s="368">
        <f t="shared" si="363"/>
        <v>0</v>
      </c>
      <c r="AZ273" s="368">
        <f t="shared" si="363"/>
        <v>5221.7883551334999</v>
      </c>
      <c r="BB273" s="64"/>
      <c r="BC273" s="66"/>
      <c r="BD273" s="66"/>
      <c r="BE273" s="66"/>
    </row>
    <row r="274" spans="1:177" s="364" customFormat="1" ht="21" customHeight="1" x14ac:dyDescent="0.2">
      <c r="B274" s="365">
        <v>50</v>
      </c>
      <c r="C274" s="372" t="s">
        <v>66</v>
      </c>
      <c r="D274" s="365">
        <v>22018</v>
      </c>
      <c r="E274" s="371" t="s">
        <v>415</v>
      </c>
      <c r="F274" s="373" t="s">
        <v>414</v>
      </c>
      <c r="G274" s="55">
        <v>43501</v>
      </c>
      <c r="H274" s="56" t="str">
        <f t="shared" si="351"/>
        <v>5 AÑOS</v>
      </c>
      <c r="I274" s="57">
        <v>4664.517108975404</v>
      </c>
      <c r="J274" s="58">
        <v>6306.51</v>
      </c>
      <c r="K274" s="108">
        <f>J274-I274</f>
        <v>1641.9928910245962</v>
      </c>
      <c r="L274" s="173">
        <f>K274*100/I274</f>
        <v>35.201776575437883</v>
      </c>
      <c r="M274" s="60">
        <v>3.5200000000000001E-3</v>
      </c>
      <c r="N274" s="61">
        <f>I274*0.352017</f>
        <v>1641.9893191501949</v>
      </c>
      <c r="O274" s="58">
        <f t="shared" si="339"/>
        <v>6306.5064281255991</v>
      </c>
      <c r="P274" s="61">
        <f t="shared" si="321"/>
        <v>12613.012856251198</v>
      </c>
      <c r="Q274" s="61">
        <f t="shared" si="322"/>
        <v>9459.7596421883991</v>
      </c>
      <c r="R274" s="61">
        <f t="shared" si="323"/>
        <v>3153.2532140627995</v>
      </c>
      <c r="S274" s="61">
        <f t="shared" si="324"/>
        <v>420.43376187503992</v>
      </c>
      <c r="T274" s="58">
        <f t="shared" si="325"/>
        <v>482.61591525635828</v>
      </c>
      <c r="U274" s="61">
        <f t="shared" si="326"/>
        <v>4729.8798210941995</v>
      </c>
      <c r="V274" s="58">
        <f t="shared" si="327"/>
        <v>1576.6266070313998</v>
      </c>
      <c r="W274" s="101">
        <v>2.5000000000000001E-2</v>
      </c>
      <c r="X274" s="63">
        <f t="shared" si="328"/>
        <v>315.32532140627995</v>
      </c>
      <c r="Y274" s="61">
        <v>716.24</v>
      </c>
      <c r="Z274" s="61">
        <v>0</v>
      </c>
      <c r="AA274" s="61">
        <f t="shared" si="329"/>
        <v>1576.6266070313998</v>
      </c>
      <c r="AB274" s="61">
        <f t="shared" si="330"/>
        <v>315.32532140627995</v>
      </c>
      <c r="AC274" s="61">
        <v>2094.2752678887832</v>
      </c>
      <c r="AD274" s="61">
        <v>1264.9606948375838</v>
      </c>
      <c r="AE274" s="61">
        <v>748.05481658047529</v>
      </c>
      <c r="AF274" s="61">
        <v>0</v>
      </c>
      <c r="AG274" s="61">
        <f t="shared" si="331"/>
        <v>435.14894354066632</v>
      </c>
      <c r="AH274" s="64"/>
      <c r="AI274" s="64"/>
      <c r="AJ274" s="365">
        <v>50</v>
      </c>
      <c r="AK274" s="372" t="s">
        <v>66</v>
      </c>
      <c r="AL274" s="365">
        <v>22018</v>
      </c>
      <c r="AM274" s="371" t="s">
        <v>415</v>
      </c>
      <c r="AN274" s="373" t="s">
        <v>414</v>
      </c>
      <c r="AO274" s="368">
        <f t="shared" ref="AO274:AP274" si="364">Q274*3</f>
        <v>28379.278926565195</v>
      </c>
      <c r="AP274" s="368">
        <f t="shared" si="364"/>
        <v>9459.7596421883991</v>
      </c>
      <c r="AQ274" s="368">
        <f t="shared" ref="AQ274:AZ274" si="365">X274*3</f>
        <v>945.97596421883986</v>
      </c>
      <c r="AR274" s="368">
        <f t="shared" si="365"/>
        <v>2148.7200000000003</v>
      </c>
      <c r="AS274" s="368">
        <f t="shared" si="365"/>
        <v>0</v>
      </c>
      <c r="AT274" s="368">
        <f t="shared" si="365"/>
        <v>4729.8798210941995</v>
      </c>
      <c r="AU274" s="368">
        <f t="shared" si="365"/>
        <v>945.97596421883986</v>
      </c>
      <c r="AV274" s="368">
        <f t="shared" si="365"/>
        <v>6282.8258036663501</v>
      </c>
      <c r="AW274" s="368">
        <f t="shared" si="365"/>
        <v>3794.8820845127511</v>
      </c>
      <c r="AX274" s="368">
        <f t="shared" si="365"/>
        <v>2244.1644497414259</v>
      </c>
      <c r="AY274" s="368">
        <f t="shared" si="365"/>
        <v>0</v>
      </c>
      <c r="AZ274" s="368">
        <f t="shared" si="365"/>
        <v>1305.446830621999</v>
      </c>
      <c r="BB274" s="64"/>
      <c r="BC274" s="66"/>
      <c r="BD274" s="66"/>
      <c r="BE274" s="66"/>
    </row>
    <row r="275" spans="1:177" ht="21" customHeight="1" x14ac:dyDescent="0.2">
      <c r="B275" s="67">
        <v>51</v>
      </c>
      <c r="C275" s="73" t="s">
        <v>66</v>
      </c>
      <c r="D275" s="67">
        <v>9136</v>
      </c>
      <c r="E275" s="73" t="s">
        <v>416</v>
      </c>
      <c r="F275" s="72" t="s">
        <v>414</v>
      </c>
      <c r="G275" s="55">
        <v>45292</v>
      </c>
      <c r="H275" s="56" t="str">
        <f t="shared" si="351"/>
        <v>0 AÑOS</v>
      </c>
      <c r="I275" s="57">
        <v>6063.9496877711581</v>
      </c>
      <c r="J275" s="58"/>
      <c r="K275" s="58"/>
      <c r="L275" s="59"/>
      <c r="M275" s="60">
        <v>4.0000000000000002E-4</v>
      </c>
      <c r="N275" s="61">
        <f>I275*0.04</f>
        <v>242.55798751084632</v>
      </c>
      <c r="O275" s="58">
        <f t="shared" si="339"/>
        <v>6306.5076752820041</v>
      </c>
      <c r="P275" s="61">
        <f t="shared" si="321"/>
        <v>12613.015350564008</v>
      </c>
      <c r="Q275" s="61">
        <f t="shared" si="322"/>
        <v>9459.7615129230071</v>
      </c>
      <c r="R275" s="61">
        <f t="shared" si="323"/>
        <v>3153.2538376410021</v>
      </c>
      <c r="S275" s="61">
        <f t="shared" si="324"/>
        <v>420.4338450188003</v>
      </c>
      <c r="T275" s="58">
        <f t="shared" si="325"/>
        <v>482.61601069708081</v>
      </c>
      <c r="U275" s="61">
        <f t="shared" si="326"/>
        <v>4729.8807564615036</v>
      </c>
      <c r="V275" s="58">
        <f t="shared" si="327"/>
        <v>1576.626918820501</v>
      </c>
      <c r="W275" s="101">
        <v>0</v>
      </c>
      <c r="X275" s="63">
        <f t="shared" si="328"/>
        <v>0</v>
      </c>
      <c r="Y275" s="61">
        <v>716.26</v>
      </c>
      <c r="Z275" s="61"/>
      <c r="AA275" s="61">
        <f t="shared" si="329"/>
        <v>1576.6269188205013</v>
      </c>
      <c r="AB275" s="61">
        <f t="shared" si="330"/>
        <v>315.3253837641002</v>
      </c>
      <c r="AC275" s="61">
        <v>2094.2752678887832</v>
      </c>
      <c r="AD275" s="61">
        <v>1264.9606948375838</v>
      </c>
      <c r="AE275" s="61">
        <v>748.05481658047529</v>
      </c>
      <c r="AF275" s="61"/>
      <c r="AG275" s="61">
        <f t="shared" si="331"/>
        <v>435.14902959445828</v>
      </c>
      <c r="AH275" s="64"/>
      <c r="AI275" s="64"/>
      <c r="AJ275" s="67">
        <v>51</v>
      </c>
      <c r="AK275" s="73" t="s">
        <v>66</v>
      </c>
      <c r="AL275" s="67">
        <v>9136</v>
      </c>
      <c r="AM275" s="73" t="s">
        <v>416</v>
      </c>
      <c r="AN275" s="72" t="s">
        <v>414</v>
      </c>
      <c r="AO275" s="138">
        <f>Q275*12</f>
        <v>113517.13815507609</v>
      </c>
      <c r="AP275" s="65">
        <f>R275*12</f>
        <v>37839.046051692028</v>
      </c>
      <c r="AQ275" s="65">
        <f t="shared" ref="AQ275:AZ276" si="366">X275*12</f>
        <v>0</v>
      </c>
      <c r="AR275" s="65">
        <f t="shared" si="366"/>
        <v>8595.119999999999</v>
      </c>
      <c r="AS275" s="65">
        <f t="shared" si="366"/>
        <v>0</v>
      </c>
      <c r="AT275" s="65">
        <f t="shared" si="366"/>
        <v>18919.523025846014</v>
      </c>
      <c r="AU275" s="65">
        <f t="shared" si="366"/>
        <v>3783.9046051692021</v>
      </c>
      <c r="AV275" s="65">
        <f t="shared" si="366"/>
        <v>25131.3032146654</v>
      </c>
      <c r="AW275" s="65">
        <f t="shared" si="366"/>
        <v>15179.528338051005</v>
      </c>
      <c r="AX275" s="65">
        <f t="shared" si="366"/>
        <v>8976.6577989657035</v>
      </c>
      <c r="AY275" s="65">
        <f t="shared" si="366"/>
        <v>0</v>
      </c>
      <c r="AZ275" s="65">
        <f t="shared" si="366"/>
        <v>5221.7883551334999</v>
      </c>
      <c r="BB275" s="64"/>
      <c r="BC275" s="66"/>
      <c r="BD275" s="66"/>
      <c r="BE275" s="66"/>
    </row>
    <row r="276" spans="1:177" ht="21" customHeight="1" x14ac:dyDescent="0.2">
      <c r="B276" s="67">
        <v>52</v>
      </c>
      <c r="C276" s="73" t="s">
        <v>66</v>
      </c>
      <c r="D276" s="67">
        <v>9121</v>
      </c>
      <c r="E276" s="53" t="s">
        <v>417</v>
      </c>
      <c r="F276" s="72" t="s">
        <v>414</v>
      </c>
      <c r="G276" s="55">
        <v>43486</v>
      </c>
      <c r="H276" s="56" t="str">
        <f t="shared" si="351"/>
        <v>5 AÑOS</v>
      </c>
      <c r="I276" s="57">
        <v>6063.9496877711581</v>
      </c>
      <c r="J276" s="58"/>
      <c r="K276" s="58"/>
      <c r="L276" s="59"/>
      <c r="M276" s="60">
        <v>4.0000000000000002E-4</v>
      </c>
      <c r="N276" s="61">
        <f>I276*0.04</f>
        <v>242.55798751084632</v>
      </c>
      <c r="O276" s="58">
        <f t="shared" si="339"/>
        <v>6306.5076752820041</v>
      </c>
      <c r="P276" s="61">
        <f t="shared" si="321"/>
        <v>12613.015350564008</v>
      </c>
      <c r="Q276" s="61">
        <f t="shared" si="322"/>
        <v>9459.7615129230071</v>
      </c>
      <c r="R276" s="61">
        <f t="shared" si="323"/>
        <v>3153.2538376410021</v>
      </c>
      <c r="S276" s="61">
        <f t="shared" si="324"/>
        <v>420.4338450188003</v>
      </c>
      <c r="T276" s="58">
        <f t="shared" si="325"/>
        <v>482.61601069708081</v>
      </c>
      <c r="U276" s="61">
        <f t="shared" si="326"/>
        <v>4729.8807564615036</v>
      </c>
      <c r="V276" s="58">
        <f t="shared" si="327"/>
        <v>1576.626918820501</v>
      </c>
      <c r="W276" s="101">
        <v>2.5000000000000001E-2</v>
      </c>
      <c r="X276" s="63">
        <f t="shared" si="328"/>
        <v>315.32538376410025</v>
      </c>
      <c r="Y276" s="61">
        <v>716.23566685143487</v>
      </c>
      <c r="Z276" s="61">
        <v>0</v>
      </c>
      <c r="AA276" s="61">
        <f t="shared" si="329"/>
        <v>1576.6269188205013</v>
      </c>
      <c r="AB276" s="61">
        <f t="shared" si="330"/>
        <v>315.3253837641002</v>
      </c>
      <c r="AC276" s="61">
        <v>2094.2752678887832</v>
      </c>
      <c r="AD276" s="61">
        <v>1264.9606948375838</v>
      </c>
      <c r="AE276" s="61">
        <v>748.05481658047529</v>
      </c>
      <c r="AF276" s="61">
        <v>0</v>
      </c>
      <c r="AG276" s="61">
        <f t="shared" si="331"/>
        <v>435.14902959445828</v>
      </c>
      <c r="AH276" s="64"/>
      <c r="AI276" s="64"/>
      <c r="AJ276" s="67">
        <v>52</v>
      </c>
      <c r="AK276" s="73" t="s">
        <v>66</v>
      </c>
      <c r="AL276" s="67">
        <v>9121</v>
      </c>
      <c r="AM276" s="53" t="s">
        <v>417</v>
      </c>
      <c r="AN276" s="72" t="s">
        <v>414</v>
      </c>
      <c r="AO276" s="138">
        <f>Q276*12</f>
        <v>113517.13815507609</v>
      </c>
      <c r="AP276" s="65">
        <f>R276*12</f>
        <v>37839.046051692028</v>
      </c>
      <c r="AQ276" s="65">
        <f t="shared" si="366"/>
        <v>3783.904605169203</v>
      </c>
      <c r="AR276" s="65">
        <f t="shared" si="366"/>
        <v>8594.8280022172185</v>
      </c>
      <c r="AS276" s="65">
        <f t="shared" si="366"/>
        <v>0</v>
      </c>
      <c r="AT276" s="65">
        <f t="shared" si="366"/>
        <v>18919.523025846014</v>
      </c>
      <c r="AU276" s="65">
        <f t="shared" si="366"/>
        <v>3783.9046051692021</v>
      </c>
      <c r="AV276" s="65">
        <f t="shared" si="366"/>
        <v>25131.3032146654</v>
      </c>
      <c r="AW276" s="65">
        <f t="shared" si="366"/>
        <v>15179.528338051005</v>
      </c>
      <c r="AX276" s="65">
        <f t="shared" si="366"/>
        <v>8976.6577989657035</v>
      </c>
      <c r="AY276" s="65">
        <f t="shared" si="366"/>
        <v>0</v>
      </c>
      <c r="AZ276" s="65">
        <f t="shared" si="366"/>
        <v>5221.7883551334999</v>
      </c>
      <c r="BB276" s="64"/>
      <c r="BC276" s="66"/>
      <c r="BD276" s="66"/>
      <c r="BE276" s="66"/>
    </row>
    <row r="277" spans="1:177" s="96" customFormat="1" ht="21" customHeight="1" x14ac:dyDescent="0.2">
      <c r="A277" s="50"/>
      <c r="B277" s="455" t="s">
        <v>99</v>
      </c>
      <c r="C277" s="456"/>
      <c r="D277" s="456"/>
      <c r="E277" s="143">
        <v>52</v>
      </c>
      <c r="F277" s="166" t="s">
        <v>100</v>
      </c>
      <c r="G277" s="89"/>
      <c r="H277" s="89"/>
      <c r="I277" s="91">
        <f t="shared" ref="I277:AG277" si="367">SUM(I227:I276)</f>
        <v>277224.53577179322</v>
      </c>
      <c r="J277" s="91">
        <f t="shared" si="367"/>
        <v>39740.898170337285</v>
      </c>
      <c r="K277" s="91">
        <f t="shared" si="367"/>
        <v>7989.6762844116001</v>
      </c>
      <c r="L277" s="91">
        <f t="shared" si="367"/>
        <v>148.57350022112792</v>
      </c>
      <c r="M277" s="91">
        <f t="shared" si="367"/>
        <v>3.7198999999999996E-2</v>
      </c>
      <c r="N277" s="91">
        <f t="shared" si="367"/>
        <v>18158.194213022871</v>
      </c>
      <c r="O277" s="91">
        <f t="shared" si="367"/>
        <v>295395.76403333026</v>
      </c>
      <c r="P277" s="91">
        <f t="shared" si="367"/>
        <v>590791.52806666051</v>
      </c>
      <c r="Q277" s="91">
        <f t="shared" si="367"/>
        <v>443093.64604999538</v>
      </c>
      <c r="R277" s="91">
        <f t="shared" si="367"/>
        <v>147697.88201666513</v>
      </c>
      <c r="S277" s="91">
        <f t="shared" si="367"/>
        <v>19693.050935555348</v>
      </c>
      <c r="T277" s="91">
        <f t="shared" si="367"/>
        <v>22605.653168923996</v>
      </c>
      <c r="U277" s="91">
        <f t="shared" si="367"/>
        <v>221546.82302499769</v>
      </c>
      <c r="V277" s="91">
        <f t="shared" si="367"/>
        <v>73848.941008332564</v>
      </c>
      <c r="W277" s="91">
        <f t="shared" si="367"/>
        <v>1.5499999999999996</v>
      </c>
      <c r="X277" s="91">
        <f t="shared" si="367"/>
        <v>18879.332728556004</v>
      </c>
      <c r="Y277" s="91">
        <f t="shared" si="367"/>
        <v>29937.153838845101</v>
      </c>
      <c r="Z277" s="91">
        <f t="shared" si="367"/>
        <v>51.68</v>
      </c>
      <c r="AA277" s="91">
        <f t="shared" si="367"/>
        <v>73848.941008332564</v>
      </c>
      <c r="AB277" s="91">
        <f t="shared" si="367"/>
        <v>14769.788201666515</v>
      </c>
      <c r="AC277" s="91">
        <f t="shared" si="367"/>
        <v>99886.781010920138</v>
      </c>
      <c r="AD277" s="91">
        <f t="shared" si="367"/>
        <v>58034.572162981814</v>
      </c>
      <c r="AE277" s="91">
        <f t="shared" si="367"/>
        <v>35038.239090318682</v>
      </c>
      <c r="AF277" s="91">
        <f t="shared" si="367"/>
        <v>0</v>
      </c>
      <c r="AG277" s="91">
        <f t="shared" si="367"/>
        <v>20382.307718299784</v>
      </c>
      <c r="AH277" s="92"/>
      <c r="AI277" s="92"/>
      <c r="AJ277" s="455" t="s">
        <v>99</v>
      </c>
      <c r="AK277" s="456"/>
      <c r="AL277" s="456"/>
      <c r="AM277" s="143">
        <v>52</v>
      </c>
      <c r="AN277" s="166" t="s">
        <v>100</v>
      </c>
      <c r="AO277" s="142">
        <f>SUM(AO227:AO276)+446867.82</f>
        <v>4695073.8673067307</v>
      </c>
      <c r="AP277" s="142">
        <f>SUM(AP227:AP276)+148955.94</f>
        <v>1565024.6224355765</v>
      </c>
      <c r="AQ277" s="142">
        <f>SUM(AQ227:AQ276)+14908.49</f>
        <v>211577.91904781194</v>
      </c>
      <c r="AR277" s="142">
        <f>SUM(AR227:AR276)+25821.66</f>
        <v>307210.30552344827</v>
      </c>
      <c r="AS277" s="142">
        <f>SUM(AS227:AS276)+169.62</f>
        <v>686.42</v>
      </c>
      <c r="AT277" s="142">
        <f>SUM(AT227:AT276)+74477.97</f>
        <v>782512.31121778826</v>
      </c>
      <c r="AU277" s="142">
        <f>SUM(AU227:AU276)+14895.6</f>
        <v>156502.46824355764</v>
      </c>
      <c r="AV277" s="142">
        <f>SUM(AV227:AV276)+103968.52</f>
        <v>1067061.4792517386</v>
      </c>
      <c r="AW277" s="142">
        <f>SUM(AW227:AW276)+58311.85</f>
        <v>613476.98895546119</v>
      </c>
      <c r="AX277" s="142">
        <f>SUM(AX227:AX276)+35300.49</f>
        <v>371232.99979689409</v>
      </c>
      <c r="AY277" s="142">
        <f>SUM(AY227:AY276)</f>
        <v>0</v>
      </c>
      <c r="AZ277" s="142">
        <f>SUM(AZ227:AZ276)+20555.91</f>
        <v>215973.38817610958</v>
      </c>
      <c r="BA277" s="94"/>
      <c r="BB277" s="92"/>
      <c r="BC277" s="95"/>
      <c r="BD277" s="95"/>
      <c r="BE277" s="95"/>
      <c r="BF277" s="50"/>
      <c r="BG277" s="50"/>
      <c r="BH277" s="50"/>
      <c r="BI277" s="50"/>
      <c r="BJ277" s="50"/>
      <c r="BK277" s="50"/>
      <c r="BL277" s="50"/>
      <c r="BM277" s="50"/>
      <c r="BN277" s="50"/>
      <c r="BO277" s="50"/>
      <c r="BP277" s="50"/>
      <c r="BQ277" s="50"/>
      <c r="BR277" s="50"/>
      <c r="BS277" s="50"/>
      <c r="BT277" s="50"/>
      <c r="BU277" s="50"/>
      <c r="BV277" s="50"/>
      <c r="BW277" s="50"/>
      <c r="BX277" s="50"/>
      <c r="BY277" s="50"/>
      <c r="BZ277" s="50"/>
      <c r="CA277" s="50"/>
      <c r="CB277" s="50"/>
      <c r="CC277" s="50"/>
      <c r="CD277" s="50"/>
      <c r="CE277" s="50"/>
      <c r="CF277" s="50"/>
      <c r="CG277" s="50"/>
      <c r="CH277" s="50"/>
      <c r="CI277" s="50"/>
      <c r="CJ277" s="50"/>
      <c r="CK277" s="50"/>
      <c r="CL277" s="50"/>
      <c r="CM277" s="50"/>
      <c r="CN277" s="50"/>
      <c r="CO277" s="50"/>
      <c r="CP277" s="50"/>
      <c r="CQ277" s="50"/>
      <c r="CR277" s="50"/>
      <c r="CS277" s="50"/>
      <c r="CT277" s="50"/>
      <c r="CU277" s="50"/>
      <c r="CV277" s="50"/>
      <c r="CW277" s="50"/>
      <c r="CX277" s="50"/>
      <c r="CY277" s="50"/>
      <c r="CZ277" s="50"/>
      <c r="DA277" s="50"/>
      <c r="DB277" s="50"/>
      <c r="DC277" s="50"/>
      <c r="DD277" s="50"/>
      <c r="DE277" s="50"/>
      <c r="DF277" s="50"/>
      <c r="DG277" s="50"/>
      <c r="DH277" s="50"/>
      <c r="DI277" s="50"/>
      <c r="DJ277" s="50"/>
      <c r="DK277" s="50"/>
      <c r="DL277" s="50"/>
      <c r="DM277" s="50"/>
      <c r="DN277" s="50"/>
      <c r="DO277" s="50"/>
      <c r="DP277" s="50"/>
      <c r="DQ277" s="50"/>
      <c r="DR277" s="50"/>
      <c r="DS277" s="50"/>
      <c r="DT277" s="50"/>
      <c r="DU277" s="50"/>
      <c r="DV277" s="50"/>
      <c r="DW277" s="50"/>
      <c r="DX277" s="50"/>
      <c r="DY277" s="50"/>
      <c r="DZ277" s="50"/>
      <c r="EA277" s="50"/>
      <c r="EB277" s="50"/>
      <c r="EC277" s="50"/>
      <c r="ED277" s="50"/>
      <c r="EE277" s="50"/>
      <c r="EF277" s="50"/>
      <c r="EG277" s="50"/>
      <c r="EH277" s="50"/>
      <c r="EI277" s="50"/>
      <c r="EJ277" s="50"/>
      <c r="EK277" s="50"/>
      <c r="EL277" s="50"/>
      <c r="EM277" s="50"/>
      <c r="EN277" s="50"/>
      <c r="EO277" s="50"/>
      <c r="EP277" s="50"/>
      <c r="EQ277" s="50"/>
      <c r="ER277" s="50"/>
      <c r="ES277" s="50"/>
      <c r="ET277" s="50"/>
      <c r="EU277" s="50"/>
      <c r="EV277" s="50"/>
      <c r="EW277" s="50"/>
      <c r="EX277" s="50"/>
      <c r="EY277" s="50"/>
      <c r="EZ277" s="50"/>
      <c r="FA277" s="50"/>
      <c r="FB277" s="50"/>
      <c r="FC277" s="50"/>
      <c r="FD277" s="50"/>
      <c r="FE277" s="50"/>
      <c r="FF277" s="50"/>
      <c r="FG277" s="50"/>
      <c r="FH277" s="50"/>
      <c r="FI277" s="50"/>
      <c r="FJ277" s="50"/>
      <c r="FK277" s="50"/>
      <c r="FL277" s="50"/>
      <c r="FM277" s="50"/>
      <c r="FN277" s="50"/>
      <c r="FO277" s="50"/>
      <c r="FP277" s="50"/>
      <c r="FQ277" s="50"/>
      <c r="FR277" s="50"/>
      <c r="FS277" s="50"/>
      <c r="FT277" s="50"/>
      <c r="FU277" s="50"/>
    </row>
    <row r="278" spans="1:177" ht="21" customHeight="1" x14ac:dyDescent="0.2">
      <c r="B278" s="457" t="s">
        <v>101</v>
      </c>
      <c r="C278" s="458"/>
      <c r="D278" s="458"/>
      <c r="E278" s="207">
        <v>49</v>
      </c>
      <c r="F278" s="208" t="s">
        <v>418</v>
      </c>
      <c r="G278" s="147"/>
      <c r="H278" s="147"/>
      <c r="I278" s="57">
        <f t="shared" ref="I278:AG278" si="368">I226+I277</f>
        <v>305024.85992324364</v>
      </c>
      <c r="J278" s="57">
        <f t="shared" si="368"/>
        <v>48870.898170337285</v>
      </c>
      <c r="K278" s="57">
        <f t="shared" si="368"/>
        <v>9442.1413265261726</v>
      </c>
      <c r="L278" s="74">
        <f t="shared" si="368"/>
        <v>167.49187767016548</v>
      </c>
      <c r="M278" s="57">
        <f t="shared" si="368"/>
        <v>3.9490999999999998E-2</v>
      </c>
      <c r="N278" s="57">
        <f t="shared" si="368"/>
        <v>20415.572554238068</v>
      </c>
      <c r="O278" s="57">
        <f t="shared" si="368"/>
        <v>325453.46652599581</v>
      </c>
      <c r="P278" s="57">
        <f t="shared" si="368"/>
        <v>650906.93305199163</v>
      </c>
      <c r="Q278" s="57">
        <f t="shared" si="368"/>
        <v>488180.19978899375</v>
      </c>
      <c r="R278" s="57">
        <f t="shared" si="368"/>
        <v>162726.73326299791</v>
      </c>
      <c r="S278" s="57">
        <f t="shared" si="368"/>
        <v>21696.897768399718</v>
      </c>
      <c r="T278" s="57">
        <f t="shared" si="368"/>
        <v>24905.868948346051</v>
      </c>
      <c r="U278" s="81">
        <f t="shared" si="368"/>
        <v>244090.09989449687</v>
      </c>
      <c r="V278" s="57">
        <f t="shared" si="368"/>
        <v>81363.366631498953</v>
      </c>
      <c r="W278" s="57">
        <f t="shared" si="368"/>
        <v>1.5499999999999996</v>
      </c>
      <c r="X278" s="57">
        <f t="shared" si="368"/>
        <v>18879.332728556004</v>
      </c>
      <c r="Y278" s="57">
        <f t="shared" si="368"/>
        <v>36342.56084343441</v>
      </c>
      <c r="Z278" s="57">
        <f t="shared" si="368"/>
        <v>51.68</v>
      </c>
      <c r="AA278" s="57">
        <f t="shared" si="368"/>
        <v>81363.366631498953</v>
      </c>
      <c r="AB278" s="57">
        <f t="shared" si="368"/>
        <v>16272.673326299795</v>
      </c>
      <c r="AC278" s="57">
        <f t="shared" si="368"/>
        <v>108338.18776537786</v>
      </c>
      <c r="AD278" s="57">
        <f t="shared" si="368"/>
        <v>64064.764978803149</v>
      </c>
      <c r="AE278" s="57">
        <f t="shared" si="368"/>
        <v>38603.576219722192</v>
      </c>
      <c r="AF278" s="57">
        <f t="shared" si="368"/>
        <v>0</v>
      </c>
      <c r="AG278" s="57">
        <f t="shared" si="368"/>
        <v>22456.289190293708</v>
      </c>
      <c r="AH278" s="92">
        <f>Q278+R278-Y278+Z278+X278+AA278+AB278+AC278+AD278+AE278+AF278+AG278</f>
        <v>964594.24304910877</v>
      </c>
      <c r="AI278" s="92">
        <f>AH278*12</f>
        <v>11575130.916589305</v>
      </c>
      <c r="AJ278" s="457" t="s">
        <v>101</v>
      </c>
      <c r="AK278" s="458"/>
      <c r="AL278" s="458"/>
      <c r="AM278" s="207">
        <v>49</v>
      </c>
      <c r="AN278" s="208" t="s">
        <v>418</v>
      </c>
      <c r="AO278" s="148">
        <f t="shared" ref="AO278:AZ278" si="369">AO226+AO277</f>
        <v>5524522.8888013782</v>
      </c>
      <c r="AP278" s="148">
        <f t="shared" si="369"/>
        <v>1841507.6296004588</v>
      </c>
      <c r="AQ278" s="148">
        <f t="shared" si="369"/>
        <v>211577.91904781194</v>
      </c>
      <c r="AR278" s="148">
        <f t="shared" si="369"/>
        <v>406434.09957851993</v>
      </c>
      <c r="AS278" s="148">
        <f t="shared" si="369"/>
        <v>686.42</v>
      </c>
      <c r="AT278" s="148">
        <f t="shared" si="369"/>
        <v>920753.81480022939</v>
      </c>
      <c r="AU278" s="148">
        <f t="shared" si="369"/>
        <v>184150.76896004588</v>
      </c>
      <c r="AV278" s="148">
        <f t="shared" si="369"/>
        <v>1230535.2503052312</v>
      </c>
      <c r="AW278" s="148">
        <f t="shared" si="369"/>
        <v>724394.67274531722</v>
      </c>
      <c r="AX278" s="148">
        <f t="shared" si="369"/>
        <v>436823.80534973624</v>
      </c>
      <c r="AY278" s="148">
        <f t="shared" si="369"/>
        <v>0</v>
      </c>
      <c r="AZ278" s="148">
        <f t="shared" si="369"/>
        <v>254128.04476486336</v>
      </c>
      <c r="BA278" s="94"/>
      <c r="BB278" s="92">
        <f>AO278+AP278+AQ278-AR278+AS278+AU278+AV278+AT278+AW278+AX278+AY278+AZ278</f>
        <v>10922647.114796551</v>
      </c>
      <c r="BC278" s="95"/>
      <c r="BD278" s="95"/>
      <c r="BE278" s="95"/>
    </row>
    <row r="279" spans="1:177" ht="21" customHeight="1" x14ac:dyDescent="0.2">
      <c r="B279" s="457" t="s">
        <v>103</v>
      </c>
      <c r="C279" s="458"/>
      <c r="D279" s="458"/>
      <c r="E279" s="76">
        <f>E277-E278</f>
        <v>3</v>
      </c>
      <c r="F279" s="73"/>
      <c r="G279" s="487"/>
      <c r="H279" s="471"/>
      <c r="I279" s="471"/>
      <c r="J279" s="471"/>
      <c r="K279" s="471"/>
      <c r="L279" s="471"/>
      <c r="M279" s="471"/>
      <c r="N279" s="471"/>
      <c r="O279" s="471"/>
      <c r="P279" s="471"/>
      <c r="Q279" s="471"/>
      <c r="R279" s="471"/>
      <c r="S279" s="471"/>
      <c r="T279" s="471"/>
      <c r="U279" s="471"/>
      <c r="V279" s="471"/>
      <c r="W279" s="471"/>
      <c r="X279" s="471"/>
      <c r="Y279" s="471"/>
      <c r="Z279" s="471"/>
      <c r="AA279" s="471"/>
      <c r="AB279" s="471"/>
      <c r="AC279" s="471"/>
      <c r="AD279" s="471"/>
      <c r="AE279" s="471"/>
      <c r="AF279" s="471"/>
      <c r="AG279" s="472"/>
      <c r="AH279" s="64"/>
      <c r="AI279" s="64"/>
      <c r="AJ279" s="457" t="s">
        <v>103</v>
      </c>
      <c r="AK279" s="458"/>
      <c r="AL279" s="458"/>
      <c r="AM279" s="76">
        <f>AM277-AM278</f>
        <v>3</v>
      </c>
      <c r="AN279" s="73"/>
      <c r="AO279" s="481"/>
      <c r="AP279" s="482"/>
      <c r="AQ279" s="482"/>
      <c r="AR279" s="482"/>
      <c r="AS279" s="482"/>
      <c r="AT279" s="482"/>
      <c r="AU279" s="482"/>
      <c r="AV279" s="482"/>
      <c r="AW279" s="482"/>
      <c r="AX279" s="482"/>
      <c r="AY279" s="482"/>
      <c r="AZ279" s="483"/>
      <c r="BA279" s="152"/>
      <c r="BB279" s="92"/>
      <c r="BC279" s="95"/>
      <c r="BD279" s="95"/>
      <c r="BE279" s="95"/>
    </row>
    <row r="280" spans="1:177" ht="21" customHeight="1" x14ac:dyDescent="0.2">
      <c r="B280" s="5"/>
      <c r="C280" s="94"/>
      <c r="D280" s="5"/>
      <c r="E280" s="94"/>
      <c r="G280" s="27"/>
      <c r="H280" s="27"/>
      <c r="I280" s="95"/>
      <c r="J280" s="95"/>
      <c r="K280" s="95"/>
      <c r="L280" s="27"/>
      <c r="M280" s="128"/>
      <c r="N280" s="66"/>
      <c r="O280" s="95"/>
      <c r="P280" s="66"/>
      <c r="Q280" s="66"/>
      <c r="R280" s="66"/>
      <c r="S280" s="66"/>
      <c r="T280" s="95"/>
      <c r="U280" s="66"/>
      <c r="V280" s="95"/>
      <c r="W280" s="129"/>
      <c r="X280" s="130"/>
      <c r="Y280" s="66"/>
      <c r="Z280" s="66"/>
      <c r="AA280" s="66"/>
      <c r="AB280" s="66"/>
      <c r="AC280" s="66"/>
      <c r="AD280" s="66"/>
      <c r="AE280" s="66"/>
      <c r="AF280" s="66"/>
      <c r="AG280" s="66"/>
      <c r="AH280" s="64"/>
      <c r="AI280" s="64"/>
      <c r="AJ280" s="5"/>
      <c r="AK280" s="94"/>
      <c r="AL280" s="5"/>
      <c r="AM280" s="94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2"/>
      <c r="BB280" s="92"/>
      <c r="BC280" s="95"/>
      <c r="BD280" s="95"/>
      <c r="BE280" s="95"/>
    </row>
    <row r="281" spans="1:177" ht="21" customHeight="1" x14ac:dyDescent="0.2">
      <c r="B281" s="5"/>
      <c r="C281" s="94"/>
      <c r="D281" s="5"/>
      <c r="E281" s="94"/>
      <c r="G281" s="27"/>
      <c r="H281" s="27"/>
      <c r="I281" s="95"/>
      <c r="J281" s="95"/>
      <c r="K281" s="95"/>
      <c r="L281" s="27"/>
      <c r="M281" s="128"/>
      <c r="N281" s="66"/>
      <c r="O281" s="95"/>
      <c r="P281" s="66"/>
      <c r="Q281" s="66"/>
      <c r="R281" s="66"/>
      <c r="S281" s="66"/>
      <c r="T281" s="95"/>
      <c r="U281" s="66"/>
      <c r="V281" s="95"/>
      <c r="W281" s="129"/>
      <c r="X281" s="130"/>
      <c r="Y281" s="66"/>
      <c r="Z281" s="66"/>
      <c r="AA281" s="66"/>
      <c r="AB281" s="66"/>
      <c r="AC281" s="66"/>
      <c r="AD281" s="66"/>
      <c r="AE281" s="66"/>
      <c r="AF281" s="66"/>
      <c r="AG281" s="66"/>
      <c r="AH281" s="64"/>
      <c r="AI281" s="64"/>
      <c r="AJ281" s="5"/>
      <c r="AK281" s="94"/>
      <c r="AL281" s="5"/>
      <c r="AM281" s="94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2"/>
      <c r="BB281" s="92"/>
      <c r="BC281" s="95"/>
      <c r="BD281" s="95"/>
      <c r="BE281" s="95"/>
    </row>
    <row r="282" spans="1:177" ht="21" customHeight="1" thickBot="1" x14ac:dyDescent="0.25">
      <c r="B282" s="5"/>
      <c r="C282" s="94"/>
      <c r="D282" s="5"/>
      <c r="E282" s="94"/>
      <c r="G282" s="27"/>
      <c r="H282" s="27"/>
      <c r="I282" s="95"/>
      <c r="J282" s="95"/>
      <c r="K282" s="95"/>
      <c r="L282" s="27"/>
      <c r="M282" s="128"/>
      <c r="N282" s="66"/>
      <c r="O282" s="95"/>
      <c r="P282" s="66"/>
      <c r="Q282" s="66"/>
      <c r="R282" s="66"/>
      <c r="S282" s="66"/>
      <c r="T282" s="95"/>
      <c r="U282" s="66"/>
      <c r="V282" s="95"/>
      <c r="W282" s="129"/>
      <c r="X282" s="130"/>
      <c r="Y282" s="66"/>
      <c r="Z282" s="66"/>
      <c r="AA282" s="66"/>
      <c r="AB282" s="66"/>
      <c r="AC282" s="66"/>
      <c r="AD282" s="66"/>
      <c r="AE282" s="66"/>
      <c r="AF282" s="66"/>
      <c r="AG282" s="66"/>
      <c r="AH282" s="64"/>
      <c r="AI282" s="64"/>
      <c r="AJ282" s="5"/>
      <c r="AK282" s="94"/>
      <c r="AL282" s="5"/>
      <c r="AM282" s="94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2"/>
      <c r="BB282" s="92"/>
      <c r="BC282" s="95"/>
      <c r="BD282" s="95"/>
      <c r="BE282" s="95"/>
    </row>
    <row r="283" spans="1:177" s="134" customFormat="1" ht="21" customHeight="1" thickBot="1" x14ac:dyDescent="0.25">
      <c r="A283" s="94"/>
      <c r="B283" s="463" t="s">
        <v>419</v>
      </c>
      <c r="C283" s="464"/>
      <c r="D283" s="464"/>
      <c r="E283" s="465"/>
      <c r="F283" s="466" t="s">
        <v>4</v>
      </c>
      <c r="G283" s="7" t="s">
        <v>5</v>
      </c>
      <c r="H283" s="8" t="s">
        <v>6</v>
      </c>
      <c r="I283" s="9" t="s">
        <v>7</v>
      </c>
      <c r="J283" s="9"/>
      <c r="K283" s="9"/>
      <c r="L283" s="9"/>
      <c r="M283" s="10">
        <v>4.0000000000000002E-4</v>
      </c>
      <c r="N283" s="11" t="s">
        <v>8</v>
      </c>
      <c r="O283" s="12" t="s">
        <v>9</v>
      </c>
      <c r="P283" s="12" t="s">
        <v>10</v>
      </c>
      <c r="Q283" s="13" t="s">
        <v>11</v>
      </c>
      <c r="R283" s="12" t="s">
        <v>12</v>
      </c>
      <c r="S283" s="14" t="s">
        <v>11</v>
      </c>
      <c r="T283" s="15" t="s">
        <v>13</v>
      </c>
      <c r="U283" s="16" t="s">
        <v>11</v>
      </c>
      <c r="V283" s="17" t="s">
        <v>12</v>
      </c>
      <c r="W283" s="18" t="s">
        <v>14</v>
      </c>
      <c r="X283" s="19" t="s">
        <v>15</v>
      </c>
      <c r="Y283" s="15" t="s">
        <v>16</v>
      </c>
      <c r="Z283" s="13" t="s">
        <v>17</v>
      </c>
      <c r="AA283" s="20" t="s">
        <v>18</v>
      </c>
      <c r="AB283" s="17" t="s">
        <v>19</v>
      </c>
      <c r="AC283" s="13" t="s">
        <v>20</v>
      </c>
      <c r="AD283" s="13" t="s">
        <v>21</v>
      </c>
      <c r="AE283" s="13" t="s">
        <v>22</v>
      </c>
      <c r="AF283" s="17" t="s">
        <v>23</v>
      </c>
      <c r="AG283" s="12" t="s">
        <v>24</v>
      </c>
      <c r="AH283" s="132"/>
      <c r="AI283" s="132"/>
      <c r="AJ283" s="463" t="s">
        <v>419</v>
      </c>
      <c r="AK283" s="464"/>
      <c r="AL283" s="464"/>
      <c r="AM283" s="465"/>
      <c r="AN283" s="466" t="s">
        <v>4</v>
      </c>
      <c r="AO283" s="133" t="s">
        <v>11</v>
      </c>
      <c r="AP283" s="12" t="s">
        <v>12</v>
      </c>
      <c r="AQ283" s="23" t="s">
        <v>15</v>
      </c>
      <c r="AR283" s="22" t="s">
        <v>16</v>
      </c>
      <c r="AS283" s="22" t="s">
        <v>25</v>
      </c>
      <c r="AT283" s="20" t="s">
        <v>26</v>
      </c>
      <c r="AU283" s="24" t="s">
        <v>27</v>
      </c>
      <c r="AV283" s="23" t="s">
        <v>20</v>
      </c>
      <c r="AW283" s="22" t="s">
        <v>28</v>
      </c>
      <c r="AX283" s="22" t="s">
        <v>29</v>
      </c>
      <c r="AY283" s="25" t="s">
        <v>23</v>
      </c>
      <c r="AZ283" s="24" t="s">
        <v>24</v>
      </c>
      <c r="BA283" s="94"/>
      <c r="BB283" s="92"/>
      <c r="BC283" s="95"/>
      <c r="BD283" s="95"/>
      <c r="BE283" s="95"/>
      <c r="BF283" s="94"/>
      <c r="BG283" s="94"/>
      <c r="BH283" s="94"/>
      <c r="BI283" s="94"/>
      <c r="BJ283" s="94"/>
      <c r="BK283" s="94"/>
      <c r="BL283" s="94"/>
      <c r="BM283" s="94"/>
      <c r="BN283" s="94"/>
      <c r="BO283" s="94"/>
      <c r="BP283" s="94"/>
      <c r="BQ283" s="94"/>
      <c r="BR283" s="94"/>
      <c r="BS283" s="94"/>
      <c r="BT283" s="94"/>
      <c r="BU283" s="94"/>
      <c r="BV283" s="94"/>
      <c r="BW283" s="94"/>
      <c r="BX283" s="94"/>
      <c r="BY283" s="94"/>
      <c r="BZ283" s="94"/>
      <c r="CA283" s="94"/>
      <c r="CB283" s="94"/>
      <c r="CC283" s="94"/>
      <c r="CD283" s="94"/>
      <c r="CE283" s="94"/>
      <c r="CF283" s="94"/>
      <c r="CG283" s="94"/>
      <c r="CH283" s="94"/>
      <c r="CI283" s="94"/>
      <c r="CJ283" s="94"/>
      <c r="CK283" s="94"/>
      <c r="CL283" s="94"/>
      <c r="CM283" s="94"/>
      <c r="CN283" s="94"/>
      <c r="CO283" s="94"/>
      <c r="CP283" s="94"/>
      <c r="CQ283" s="94"/>
      <c r="CR283" s="94"/>
      <c r="CS283" s="94"/>
      <c r="CT283" s="94"/>
      <c r="CU283" s="94"/>
      <c r="CV283" s="94"/>
      <c r="CW283" s="94"/>
      <c r="CX283" s="94"/>
      <c r="CY283" s="94"/>
      <c r="CZ283" s="94"/>
      <c r="DA283" s="94"/>
      <c r="DB283" s="94"/>
      <c r="DC283" s="94"/>
      <c r="DD283" s="94"/>
      <c r="DE283" s="94"/>
      <c r="DF283" s="94"/>
      <c r="DG283" s="94"/>
      <c r="DH283" s="94"/>
      <c r="DI283" s="94"/>
      <c r="DJ283" s="94"/>
      <c r="DK283" s="94"/>
      <c r="DL283" s="94"/>
      <c r="DM283" s="94"/>
      <c r="DN283" s="94"/>
      <c r="DO283" s="94"/>
      <c r="DP283" s="94"/>
      <c r="DQ283" s="94"/>
      <c r="DR283" s="94"/>
      <c r="DS283" s="94"/>
      <c r="DT283" s="94"/>
      <c r="DU283" s="94"/>
      <c r="DV283" s="94"/>
      <c r="DW283" s="94"/>
      <c r="DX283" s="94"/>
      <c r="DY283" s="94"/>
      <c r="DZ283" s="94"/>
      <c r="EA283" s="94"/>
      <c r="EB283" s="94"/>
      <c r="EC283" s="94"/>
      <c r="ED283" s="94"/>
      <c r="EE283" s="94"/>
      <c r="EF283" s="94"/>
      <c r="EG283" s="94"/>
      <c r="EH283" s="94"/>
      <c r="EI283" s="94"/>
      <c r="EJ283" s="94"/>
      <c r="EK283" s="94"/>
      <c r="EL283" s="94"/>
      <c r="EM283" s="94"/>
      <c r="EN283" s="94"/>
      <c r="EO283" s="94"/>
      <c r="EP283" s="94"/>
      <c r="EQ283" s="94"/>
      <c r="ER283" s="94"/>
      <c r="ES283" s="94"/>
      <c r="ET283" s="94"/>
      <c r="EU283" s="94"/>
      <c r="EV283" s="94"/>
      <c r="EW283" s="94"/>
      <c r="EX283" s="94"/>
      <c r="EY283" s="94"/>
      <c r="EZ283" s="94"/>
      <c r="FA283" s="94"/>
      <c r="FB283" s="94"/>
      <c r="FC283" s="94"/>
      <c r="FD283" s="94"/>
      <c r="FE283" s="94"/>
      <c r="FF283" s="94"/>
      <c r="FG283" s="94"/>
      <c r="FH283" s="94"/>
      <c r="FI283" s="94"/>
      <c r="FJ283" s="94"/>
      <c r="FK283" s="94"/>
      <c r="FL283" s="94"/>
      <c r="FM283" s="94"/>
      <c r="FN283" s="94"/>
      <c r="FO283" s="94"/>
      <c r="FP283" s="94"/>
      <c r="FQ283" s="94"/>
      <c r="FR283" s="94"/>
      <c r="FS283" s="94"/>
      <c r="FT283" s="94"/>
      <c r="FU283" s="94"/>
    </row>
    <row r="284" spans="1:177" s="134" customFormat="1" ht="21" customHeight="1" thickBot="1" x14ac:dyDescent="0.25">
      <c r="A284" s="94"/>
      <c r="B284" s="30" t="s">
        <v>30</v>
      </c>
      <c r="C284" s="6" t="s">
        <v>31</v>
      </c>
      <c r="D284" s="30" t="s">
        <v>105</v>
      </c>
      <c r="E284" s="32" t="s">
        <v>32</v>
      </c>
      <c r="F284" s="467"/>
      <c r="G284" s="33" t="s">
        <v>33</v>
      </c>
      <c r="H284" s="34">
        <v>45657</v>
      </c>
      <c r="I284" s="35">
        <v>2023</v>
      </c>
      <c r="J284" s="35"/>
      <c r="K284" s="35"/>
      <c r="L284" s="35"/>
      <c r="M284" s="36"/>
      <c r="N284" s="37"/>
      <c r="O284" s="38">
        <v>2024</v>
      </c>
      <c r="P284" s="39" t="s">
        <v>34</v>
      </c>
      <c r="Q284" s="40" t="s">
        <v>35</v>
      </c>
      <c r="R284" s="39" t="s">
        <v>36</v>
      </c>
      <c r="S284" s="41" t="s">
        <v>37</v>
      </c>
      <c r="T284" s="42" t="s">
        <v>38</v>
      </c>
      <c r="U284" s="43" t="s">
        <v>39</v>
      </c>
      <c r="V284" s="41" t="s">
        <v>39</v>
      </c>
      <c r="W284" s="44" t="s">
        <v>15</v>
      </c>
      <c r="X284" s="45" t="s">
        <v>35</v>
      </c>
      <c r="Y284" s="42" t="s">
        <v>35</v>
      </c>
      <c r="Z284" s="40" t="s">
        <v>35</v>
      </c>
      <c r="AA284" s="46" t="s">
        <v>35</v>
      </c>
      <c r="AB284" s="41" t="s">
        <v>35</v>
      </c>
      <c r="AC284" s="40" t="s">
        <v>35</v>
      </c>
      <c r="AD284" s="40" t="s">
        <v>35</v>
      </c>
      <c r="AE284" s="40" t="s">
        <v>35</v>
      </c>
      <c r="AF284" s="41" t="s">
        <v>35</v>
      </c>
      <c r="AG284" s="40" t="s">
        <v>35</v>
      </c>
      <c r="AH284" s="135"/>
      <c r="AI284" s="135"/>
      <c r="AJ284" s="30" t="s">
        <v>30</v>
      </c>
      <c r="AK284" s="6" t="s">
        <v>31</v>
      </c>
      <c r="AL284" s="30" t="s">
        <v>105</v>
      </c>
      <c r="AM284" s="32" t="s">
        <v>32</v>
      </c>
      <c r="AN284" s="467"/>
      <c r="AO284" s="46" t="s">
        <v>40</v>
      </c>
      <c r="AP284" s="39" t="s">
        <v>41</v>
      </c>
      <c r="AQ284" s="48" t="s">
        <v>40</v>
      </c>
      <c r="AR284" s="49" t="s">
        <v>40</v>
      </c>
      <c r="AS284" s="49" t="s">
        <v>40</v>
      </c>
      <c r="AT284" s="46" t="s">
        <v>40</v>
      </c>
      <c r="AU284" s="49" t="s">
        <v>40</v>
      </c>
      <c r="AV284" s="48" t="s">
        <v>40</v>
      </c>
      <c r="AW284" s="49" t="s">
        <v>40</v>
      </c>
      <c r="AX284" s="49" t="s">
        <v>40</v>
      </c>
      <c r="AY284" s="48" t="s">
        <v>40</v>
      </c>
      <c r="AZ284" s="49" t="s">
        <v>40</v>
      </c>
      <c r="BA284" s="94"/>
      <c r="BB284" s="92"/>
      <c r="BC284" s="95"/>
      <c r="BD284" s="95"/>
      <c r="BE284" s="95"/>
      <c r="BF284" s="94"/>
      <c r="BG284" s="94"/>
      <c r="BH284" s="94"/>
      <c r="BI284" s="94"/>
      <c r="BJ284" s="94"/>
      <c r="BK284" s="94"/>
      <c r="BL284" s="94"/>
      <c r="BM284" s="94"/>
      <c r="BN284" s="94"/>
      <c r="BO284" s="94"/>
      <c r="BP284" s="94"/>
      <c r="BQ284" s="94"/>
      <c r="BR284" s="94"/>
      <c r="BS284" s="94"/>
      <c r="BT284" s="94"/>
      <c r="BU284" s="94"/>
      <c r="BV284" s="94"/>
      <c r="BW284" s="94"/>
      <c r="BX284" s="94"/>
      <c r="BY284" s="94"/>
      <c r="BZ284" s="94"/>
      <c r="CA284" s="94"/>
      <c r="CB284" s="94"/>
      <c r="CC284" s="94"/>
      <c r="CD284" s="94"/>
      <c r="CE284" s="94"/>
      <c r="CF284" s="94"/>
      <c r="CG284" s="94"/>
      <c r="CH284" s="94"/>
      <c r="CI284" s="94"/>
      <c r="CJ284" s="94"/>
      <c r="CK284" s="94"/>
      <c r="CL284" s="94"/>
      <c r="CM284" s="94"/>
      <c r="CN284" s="94"/>
      <c r="CO284" s="94"/>
      <c r="CP284" s="94"/>
      <c r="CQ284" s="94"/>
      <c r="CR284" s="94"/>
      <c r="CS284" s="94"/>
      <c r="CT284" s="94"/>
      <c r="CU284" s="94"/>
      <c r="CV284" s="94"/>
      <c r="CW284" s="94"/>
      <c r="CX284" s="94"/>
      <c r="CY284" s="94"/>
      <c r="CZ284" s="94"/>
      <c r="DA284" s="94"/>
      <c r="DB284" s="94"/>
      <c r="DC284" s="94"/>
      <c r="DD284" s="94"/>
      <c r="DE284" s="94"/>
      <c r="DF284" s="94"/>
      <c r="DG284" s="94"/>
      <c r="DH284" s="94"/>
      <c r="DI284" s="94"/>
      <c r="DJ284" s="94"/>
      <c r="DK284" s="94"/>
      <c r="DL284" s="94"/>
      <c r="DM284" s="94"/>
      <c r="DN284" s="94"/>
      <c r="DO284" s="94"/>
      <c r="DP284" s="94"/>
      <c r="DQ284" s="94"/>
      <c r="DR284" s="94"/>
      <c r="DS284" s="94"/>
      <c r="DT284" s="94"/>
      <c r="DU284" s="94"/>
      <c r="DV284" s="94"/>
      <c r="DW284" s="94"/>
      <c r="DX284" s="94"/>
      <c r="DY284" s="94"/>
      <c r="DZ284" s="94"/>
      <c r="EA284" s="94"/>
      <c r="EB284" s="94"/>
      <c r="EC284" s="94"/>
      <c r="ED284" s="94"/>
      <c r="EE284" s="94"/>
      <c r="EF284" s="94"/>
      <c r="EG284" s="94"/>
      <c r="EH284" s="94"/>
      <c r="EI284" s="94"/>
      <c r="EJ284" s="94"/>
      <c r="EK284" s="94"/>
      <c r="EL284" s="94"/>
      <c r="EM284" s="94"/>
      <c r="EN284" s="94"/>
      <c r="EO284" s="94"/>
      <c r="EP284" s="94"/>
      <c r="EQ284" s="94"/>
      <c r="ER284" s="94"/>
      <c r="ES284" s="94"/>
      <c r="ET284" s="94"/>
      <c r="EU284" s="94"/>
      <c r="EV284" s="94"/>
      <c r="EW284" s="94"/>
      <c r="EX284" s="94"/>
      <c r="EY284" s="94"/>
      <c r="EZ284" s="94"/>
      <c r="FA284" s="94"/>
      <c r="FB284" s="94"/>
      <c r="FC284" s="94"/>
      <c r="FD284" s="94"/>
      <c r="FE284" s="94"/>
      <c r="FF284" s="94"/>
      <c r="FG284" s="94"/>
      <c r="FH284" s="94"/>
      <c r="FI284" s="94"/>
      <c r="FJ284" s="94"/>
      <c r="FK284" s="94"/>
      <c r="FL284" s="94"/>
      <c r="FM284" s="94"/>
      <c r="FN284" s="94"/>
      <c r="FO284" s="94"/>
      <c r="FP284" s="94"/>
      <c r="FQ284" s="94"/>
      <c r="FR284" s="94"/>
      <c r="FS284" s="94"/>
      <c r="FT284" s="94"/>
      <c r="FU284" s="94"/>
    </row>
    <row r="285" spans="1:177" ht="21" customHeight="1" x14ac:dyDescent="0.2">
      <c r="B285" s="51">
        <v>1</v>
      </c>
      <c r="C285" s="52" t="s">
        <v>42</v>
      </c>
      <c r="D285" s="67">
        <v>6157</v>
      </c>
      <c r="E285" s="73" t="s">
        <v>420</v>
      </c>
      <c r="F285" s="209" t="s">
        <v>421</v>
      </c>
      <c r="G285" s="55">
        <v>44479</v>
      </c>
      <c r="H285" s="56" t="str">
        <f xml:space="preserve"> CONCATENATE(DATEDIF(G285,H$5,"Y")," AÑOS")</f>
        <v>3 AÑOS</v>
      </c>
      <c r="I285" s="57">
        <v>12791.9558030843</v>
      </c>
      <c r="J285" s="58"/>
      <c r="K285" s="58"/>
      <c r="L285" s="59"/>
      <c r="M285" s="60">
        <v>4.0000000000000002E-4</v>
      </c>
      <c r="N285" s="61">
        <f>I285*0.04</f>
        <v>511.67823212337203</v>
      </c>
      <c r="O285" s="58">
        <f>I285+N285</f>
        <v>13303.634035207671</v>
      </c>
      <c r="P285" s="61">
        <f>O285*2</f>
        <v>26607.268070415343</v>
      </c>
      <c r="Q285" s="61">
        <f>P285*0.75</f>
        <v>19955.451052811506</v>
      </c>
      <c r="R285" s="61">
        <f>P285*0.25</f>
        <v>6651.8170176038357</v>
      </c>
      <c r="S285" s="61">
        <f>(P285/30)</f>
        <v>886.90893568051138</v>
      </c>
      <c r="T285" s="58">
        <f>S285*1.1479</f>
        <v>1018.0827672676589</v>
      </c>
      <c r="U285" s="61">
        <f>O285*0.75</f>
        <v>9977.725526405753</v>
      </c>
      <c r="V285" s="58">
        <f>O285*0.25</f>
        <v>3325.9085088019178</v>
      </c>
      <c r="W285" s="62">
        <v>0</v>
      </c>
      <c r="X285" s="63">
        <f>P285*W285</f>
        <v>0</v>
      </c>
      <c r="Y285" s="61">
        <v>2616.3603928805378</v>
      </c>
      <c r="Z285" s="61">
        <v>0</v>
      </c>
      <c r="AA285" s="61">
        <f>(S285*45)/12</f>
        <v>3325.9085088019178</v>
      </c>
      <c r="AB285" s="61">
        <f>(S285*10)*(0.45*2)/12</f>
        <v>665.18170176038359</v>
      </c>
      <c r="AC285" s="61">
        <v>3809.4370285013774</v>
      </c>
      <c r="AD285" s="61">
        <v>2668.4458371468972</v>
      </c>
      <c r="AE285" s="61">
        <v>1578.0282892648713</v>
      </c>
      <c r="AF285" s="61">
        <v>0</v>
      </c>
      <c r="AG285" s="61">
        <f>(P285+AA285+AB285)*0.03</f>
        <v>917.95074842932922</v>
      </c>
      <c r="AH285" s="64"/>
      <c r="AI285" s="64"/>
      <c r="AJ285" s="51">
        <v>1</v>
      </c>
      <c r="AK285" s="52" t="s">
        <v>42</v>
      </c>
      <c r="AL285" s="67">
        <v>6157</v>
      </c>
      <c r="AM285" s="73" t="s">
        <v>420</v>
      </c>
      <c r="AN285" s="209" t="s">
        <v>421</v>
      </c>
      <c r="AO285" s="138">
        <f>Q285*10</f>
        <v>199554.51052811506</v>
      </c>
      <c r="AP285" s="65">
        <f>R285*10</f>
        <v>66518.170176038358</v>
      </c>
      <c r="AQ285" s="65">
        <f t="shared" ref="AQ285:AZ285" si="370">X285*10</f>
        <v>0</v>
      </c>
      <c r="AR285" s="65">
        <f t="shared" si="370"/>
        <v>26163.60392880538</v>
      </c>
      <c r="AS285" s="65">
        <f t="shared" si="370"/>
        <v>0</v>
      </c>
      <c r="AT285" s="65">
        <f t="shared" si="370"/>
        <v>33259.085088019179</v>
      </c>
      <c r="AU285" s="65">
        <f t="shared" si="370"/>
        <v>6651.8170176038357</v>
      </c>
      <c r="AV285" s="65">
        <f t="shared" si="370"/>
        <v>38094.370285013778</v>
      </c>
      <c r="AW285" s="65">
        <f t="shared" si="370"/>
        <v>26684.458371468972</v>
      </c>
      <c r="AX285" s="65">
        <f t="shared" si="370"/>
        <v>15780.282892648713</v>
      </c>
      <c r="AY285" s="65">
        <f t="shared" si="370"/>
        <v>0</v>
      </c>
      <c r="AZ285" s="65">
        <f t="shared" si="370"/>
        <v>9179.5074842932918</v>
      </c>
      <c r="BB285" s="64"/>
      <c r="BC285" s="66"/>
      <c r="BD285" s="66"/>
      <c r="BE285" s="66"/>
    </row>
    <row r="286" spans="1:177" s="96" customFormat="1" ht="21" customHeight="1" x14ac:dyDescent="0.2">
      <c r="A286" s="50"/>
      <c r="B286" s="468" t="s">
        <v>65</v>
      </c>
      <c r="C286" s="469"/>
      <c r="D286" s="469"/>
      <c r="E286" s="469"/>
      <c r="F286" s="470"/>
      <c r="G286" s="139"/>
      <c r="H286" s="90"/>
      <c r="I286" s="91">
        <f>SUM(I285)</f>
        <v>12791.9558030843</v>
      </c>
      <c r="J286" s="91">
        <f t="shared" ref="J286:AG286" si="371">SUM(J285)</f>
        <v>0</v>
      </c>
      <c r="K286" s="91">
        <f t="shared" si="371"/>
        <v>0</v>
      </c>
      <c r="L286" s="91">
        <f t="shared" si="371"/>
        <v>0</v>
      </c>
      <c r="M286" s="91">
        <f t="shared" si="371"/>
        <v>4.0000000000000002E-4</v>
      </c>
      <c r="N286" s="91">
        <f t="shared" si="371"/>
        <v>511.67823212337203</v>
      </c>
      <c r="O286" s="91">
        <f t="shared" si="371"/>
        <v>13303.634035207671</v>
      </c>
      <c r="P286" s="91">
        <f t="shared" si="371"/>
        <v>26607.268070415343</v>
      </c>
      <c r="Q286" s="91">
        <f t="shared" si="371"/>
        <v>19955.451052811506</v>
      </c>
      <c r="R286" s="91">
        <f t="shared" si="371"/>
        <v>6651.8170176038357</v>
      </c>
      <c r="S286" s="91">
        <f t="shared" si="371"/>
        <v>886.90893568051138</v>
      </c>
      <c r="T286" s="91">
        <f t="shared" si="371"/>
        <v>1018.0827672676589</v>
      </c>
      <c r="U286" s="91">
        <f t="shared" si="371"/>
        <v>9977.725526405753</v>
      </c>
      <c r="V286" s="91">
        <f t="shared" si="371"/>
        <v>3325.9085088019178</v>
      </c>
      <c r="W286" s="91">
        <f t="shared" si="371"/>
        <v>0</v>
      </c>
      <c r="X286" s="91">
        <f t="shared" si="371"/>
        <v>0</v>
      </c>
      <c r="Y286" s="91">
        <f t="shared" si="371"/>
        <v>2616.3603928805378</v>
      </c>
      <c r="Z286" s="91">
        <f t="shared" si="371"/>
        <v>0</v>
      </c>
      <c r="AA286" s="91">
        <f t="shared" si="371"/>
        <v>3325.9085088019178</v>
      </c>
      <c r="AB286" s="91">
        <f t="shared" si="371"/>
        <v>665.18170176038359</v>
      </c>
      <c r="AC286" s="91">
        <f t="shared" si="371"/>
        <v>3809.4370285013774</v>
      </c>
      <c r="AD286" s="91">
        <f t="shared" si="371"/>
        <v>2668.4458371468972</v>
      </c>
      <c r="AE286" s="91">
        <f t="shared" si="371"/>
        <v>1578.0282892648713</v>
      </c>
      <c r="AF286" s="91">
        <f t="shared" si="371"/>
        <v>0</v>
      </c>
      <c r="AG286" s="91">
        <f t="shared" si="371"/>
        <v>917.95074842932922</v>
      </c>
      <c r="AH286" s="92"/>
      <c r="AI286" s="92"/>
      <c r="AJ286" s="468" t="s">
        <v>65</v>
      </c>
      <c r="AK286" s="469"/>
      <c r="AL286" s="469"/>
      <c r="AM286" s="469"/>
      <c r="AN286" s="470"/>
      <c r="AO286" s="144">
        <f>SUM(AO285)+39910.9</f>
        <v>239465.41052811506</v>
      </c>
      <c r="AP286" s="144">
        <f>SUM(AP285)+13303.63</f>
        <v>79821.800176038363</v>
      </c>
      <c r="AQ286" s="144">
        <f t="shared" ref="AQ286:AY286" si="372">SUM(AQ285)</f>
        <v>0</v>
      </c>
      <c r="AR286" s="144">
        <f>SUM(AR285)+5232.72</f>
        <v>31396.323928805381</v>
      </c>
      <c r="AS286" s="144">
        <f t="shared" si="372"/>
        <v>0</v>
      </c>
      <c r="AT286" s="144">
        <f>SUM(AT285)+6651.82</f>
        <v>39910.905088019179</v>
      </c>
      <c r="AU286" s="144">
        <f>SUM(AU285)+1330.36</f>
        <v>7982.1770176038353</v>
      </c>
      <c r="AV286" s="144">
        <f>SUM(AV285)+7463.19</f>
        <v>45557.56028501378</v>
      </c>
      <c r="AW286" s="144">
        <f>SUM(AW285)+5209.5</f>
        <v>31893.958371468972</v>
      </c>
      <c r="AX286" s="144">
        <f>SUM(AX285)+3080.72</f>
        <v>18861.002892648714</v>
      </c>
      <c r="AY286" s="144">
        <f t="shared" si="372"/>
        <v>0</v>
      </c>
      <c r="AZ286" s="144">
        <f>SUM(AZ285)+1835.9</f>
        <v>11015.407484293291</v>
      </c>
      <c r="BA286" s="94"/>
      <c r="BB286" s="92"/>
      <c r="BC286" s="95"/>
      <c r="BD286" s="95"/>
      <c r="BE286" s="95"/>
      <c r="BF286" s="50"/>
      <c r="BG286" s="50"/>
      <c r="BH286" s="50"/>
      <c r="BI286" s="50"/>
      <c r="BJ286" s="50"/>
      <c r="BK286" s="50"/>
      <c r="BL286" s="50"/>
      <c r="BM286" s="50"/>
      <c r="BN286" s="50"/>
      <c r="BO286" s="50"/>
      <c r="BP286" s="50"/>
      <c r="BQ286" s="50"/>
      <c r="BR286" s="50"/>
      <c r="BS286" s="50"/>
      <c r="BT286" s="50"/>
      <c r="BU286" s="50"/>
      <c r="BV286" s="50"/>
      <c r="BW286" s="50"/>
      <c r="BX286" s="50"/>
      <c r="BY286" s="50"/>
      <c r="BZ286" s="50"/>
      <c r="CA286" s="50"/>
      <c r="CB286" s="50"/>
      <c r="CC286" s="50"/>
      <c r="CD286" s="50"/>
      <c r="CE286" s="50"/>
      <c r="CF286" s="50"/>
      <c r="CG286" s="50"/>
      <c r="CH286" s="50"/>
      <c r="CI286" s="50"/>
      <c r="CJ286" s="50"/>
      <c r="CK286" s="50"/>
      <c r="CL286" s="50"/>
      <c r="CM286" s="50"/>
      <c r="CN286" s="50"/>
      <c r="CO286" s="50"/>
      <c r="CP286" s="50"/>
      <c r="CQ286" s="50"/>
      <c r="CR286" s="50"/>
      <c r="CS286" s="50"/>
      <c r="CT286" s="50"/>
      <c r="CU286" s="50"/>
      <c r="CV286" s="50"/>
      <c r="CW286" s="50"/>
      <c r="CX286" s="50"/>
      <c r="CY286" s="50"/>
      <c r="CZ286" s="50"/>
      <c r="DA286" s="50"/>
      <c r="DB286" s="50"/>
      <c r="DC286" s="50"/>
      <c r="DD286" s="50"/>
      <c r="DE286" s="50"/>
      <c r="DF286" s="50"/>
      <c r="DG286" s="50"/>
      <c r="DH286" s="50"/>
      <c r="DI286" s="50"/>
      <c r="DJ286" s="50"/>
      <c r="DK286" s="50"/>
      <c r="DL286" s="50"/>
      <c r="DM286" s="50"/>
      <c r="DN286" s="50"/>
      <c r="DO286" s="50"/>
      <c r="DP286" s="50"/>
      <c r="DQ286" s="50"/>
      <c r="DR286" s="50"/>
      <c r="DS286" s="50"/>
      <c r="DT286" s="50"/>
      <c r="DU286" s="50"/>
      <c r="DV286" s="50"/>
      <c r="DW286" s="50"/>
      <c r="DX286" s="50"/>
      <c r="DY286" s="50"/>
      <c r="DZ286" s="50"/>
      <c r="EA286" s="50"/>
      <c r="EB286" s="50"/>
      <c r="EC286" s="50"/>
      <c r="ED286" s="50"/>
      <c r="EE286" s="50"/>
      <c r="EF286" s="50"/>
      <c r="EG286" s="50"/>
      <c r="EH286" s="50"/>
      <c r="EI286" s="50"/>
      <c r="EJ286" s="50"/>
      <c r="EK286" s="50"/>
      <c r="EL286" s="50"/>
      <c r="EM286" s="50"/>
      <c r="EN286" s="50"/>
      <c r="EO286" s="50"/>
      <c r="EP286" s="50"/>
      <c r="EQ286" s="50"/>
      <c r="ER286" s="50"/>
      <c r="ES286" s="50"/>
      <c r="ET286" s="50"/>
      <c r="EU286" s="50"/>
      <c r="EV286" s="50"/>
      <c r="EW286" s="50"/>
      <c r="EX286" s="50"/>
      <c r="EY286" s="50"/>
      <c r="EZ286" s="50"/>
      <c r="FA286" s="50"/>
      <c r="FB286" s="50"/>
      <c r="FC286" s="50"/>
      <c r="FD286" s="50"/>
      <c r="FE286" s="50"/>
      <c r="FF286" s="50"/>
      <c r="FG286" s="50"/>
      <c r="FH286" s="50"/>
      <c r="FI286" s="50"/>
      <c r="FJ286" s="50"/>
      <c r="FK286" s="50"/>
      <c r="FL286" s="50"/>
      <c r="FM286" s="50"/>
      <c r="FN286" s="50"/>
      <c r="FO286" s="50"/>
      <c r="FP286" s="50"/>
      <c r="FQ286" s="50"/>
      <c r="FR286" s="50"/>
      <c r="FS286" s="50"/>
      <c r="FT286" s="50"/>
      <c r="FU286" s="50"/>
    </row>
    <row r="287" spans="1:177" ht="21" customHeight="1" x14ac:dyDescent="0.2">
      <c r="B287" s="67">
        <v>2</v>
      </c>
      <c r="C287" s="73" t="s">
        <v>66</v>
      </c>
      <c r="D287" s="67">
        <v>9130</v>
      </c>
      <c r="E287" s="192" t="s">
        <v>422</v>
      </c>
      <c r="F287" s="72" t="s">
        <v>423</v>
      </c>
      <c r="G287" s="169">
        <v>44501</v>
      </c>
      <c r="H287" s="56" t="str">
        <f xml:space="preserve"> CONCATENATE(DATEDIF(G287,H$5,"Y")," AÑOS")</f>
        <v>3 AÑOS</v>
      </c>
      <c r="I287" s="57">
        <v>3645.8352743228638</v>
      </c>
      <c r="J287" s="58">
        <v>4267.05</v>
      </c>
      <c r="K287" s="108">
        <f>J287-I287</f>
        <v>621.21472567713636</v>
      </c>
      <c r="L287" s="109">
        <f>K287*100/I287</f>
        <v>17.039023404383343</v>
      </c>
      <c r="M287" s="60">
        <v>1.74E-3</v>
      </c>
      <c r="N287" s="61">
        <f>I287*0.1704</f>
        <v>621.25033074461601</v>
      </c>
      <c r="O287" s="58">
        <f t="shared" ref="O287:O292" si="373">I287+N287</f>
        <v>4267.0856050674802</v>
      </c>
      <c r="P287" s="61">
        <f t="shared" ref="P287:P292" si="374">O287*2</f>
        <v>8534.1712101349603</v>
      </c>
      <c r="Q287" s="61">
        <f t="shared" ref="Q287:Q292" si="375">P287*0.75</f>
        <v>6400.6284076012198</v>
      </c>
      <c r="R287" s="61">
        <f t="shared" ref="R287:R292" si="376">P287*0.25</f>
        <v>2133.5428025337401</v>
      </c>
      <c r="S287" s="61">
        <f t="shared" ref="S287:S292" si="377">(P287/30)</f>
        <v>284.47237367116537</v>
      </c>
      <c r="T287" s="58">
        <f t="shared" ref="T287:T292" si="378">S287*1.1479</f>
        <v>326.54583773713068</v>
      </c>
      <c r="U287" s="61">
        <f t="shared" ref="U287:U292" si="379">O287*0.75</f>
        <v>3200.3142038006099</v>
      </c>
      <c r="V287" s="58">
        <f t="shared" ref="V287:V292" si="380">O287*0.25</f>
        <v>1066.77140126687</v>
      </c>
      <c r="W287" s="101">
        <v>0</v>
      </c>
      <c r="X287" s="63">
        <f t="shared" ref="X287:X292" si="381">P287*W287</f>
        <v>0</v>
      </c>
      <c r="Y287" s="61">
        <v>133.22</v>
      </c>
      <c r="Z287" s="61">
        <v>0</v>
      </c>
      <c r="AA287" s="61">
        <f t="shared" ref="AA287:AA292" si="382">(S287*45)/12</f>
        <v>1066.77140126687</v>
      </c>
      <c r="AB287" s="61">
        <f t="shared" ref="AB287:AB292" si="383">(S287*10)*(0.45*2)/12</f>
        <v>213.35428025337401</v>
      </c>
      <c r="AC287" s="61">
        <v>1597.7283944593551</v>
      </c>
      <c r="AD287" s="61">
        <v>798.19231847275546</v>
      </c>
      <c r="AE287" s="61">
        <v>506.14604849255261</v>
      </c>
      <c r="AF287" s="61">
        <v>0</v>
      </c>
      <c r="AG287" s="61">
        <f t="shared" ref="AG287:AG292" si="384">(P287+AA287+AB287)*0.03</f>
        <v>294.42890674965611</v>
      </c>
      <c r="AH287" s="64"/>
      <c r="AI287" s="64"/>
      <c r="AJ287" s="67">
        <v>2</v>
      </c>
      <c r="AK287" s="73" t="s">
        <v>66</v>
      </c>
      <c r="AL287" s="67">
        <v>9130</v>
      </c>
      <c r="AM287" s="192" t="s">
        <v>422</v>
      </c>
      <c r="AN287" s="72" t="s">
        <v>423</v>
      </c>
      <c r="AO287" s="138">
        <f>Q287*12</f>
        <v>76807.540891214638</v>
      </c>
      <c r="AP287" s="65">
        <f>R287*12</f>
        <v>25602.513630404879</v>
      </c>
      <c r="AQ287" s="65">
        <f t="shared" ref="AQ287:AZ288" si="385">X287*12</f>
        <v>0</v>
      </c>
      <c r="AR287" s="65">
        <f t="shared" si="385"/>
        <v>1598.6399999999999</v>
      </c>
      <c r="AS287" s="65">
        <f t="shared" si="385"/>
        <v>0</v>
      </c>
      <c r="AT287" s="65">
        <f t="shared" si="385"/>
        <v>12801.25681520244</v>
      </c>
      <c r="AU287" s="65">
        <f t="shared" si="385"/>
        <v>2560.2513630404883</v>
      </c>
      <c r="AV287" s="65">
        <f t="shared" si="385"/>
        <v>19172.740733512263</v>
      </c>
      <c r="AW287" s="65">
        <f t="shared" si="385"/>
        <v>9578.3078216730646</v>
      </c>
      <c r="AX287" s="65">
        <f t="shared" si="385"/>
        <v>6073.7525819106313</v>
      </c>
      <c r="AY287" s="65">
        <f t="shared" si="385"/>
        <v>0</v>
      </c>
      <c r="AZ287" s="65">
        <f t="shared" si="385"/>
        <v>3533.1468809958733</v>
      </c>
      <c r="BA287" s="182"/>
      <c r="BB287" s="183"/>
      <c r="BC287" s="184"/>
      <c r="BD287" s="184"/>
      <c r="BE287" s="184"/>
    </row>
    <row r="288" spans="1:177" s="102" customFormat="1" ht="21" customHeight="1" x14ac:dyDescent="0.2">
      <c r="A288" s="50"/>
      <c r="B288" s="51">
        <v>3</v>
      </c>
      <c r="C288" s="73" t="s">
        <v>66</v>
      </c>
      <c r="D288" s="83">
        <v>10059</v>
      </c>
      <c r="E288" s="73" t="s">
        <v>424</v>
      </c>
      <c r="F288" s="210" t="s">
        <v>425</v>
      </c>
      <c r="G288" s="55">
        <v>43378</v>
      </c>
      <c r="H288" s="56" t="str">
        <f xml:space="preserve"> CONCATENATE(DATEDIF(G288,H$5,"Y")," AÑOS")</f>
        <v>6 AÑOS</v>
      </c>
      <c r="I288" s="57">
        <v>6473.7189041991969</v>
      </c>
      <c r="J288" s="58"/>
      <c r="K288" s="57"/>
      <c r="L288" s="59"/>
      <c r="M288" s="60">
        <v>4.0000000000000002E-4</v>
      </c>
      <c r="N288" s="61">
        <f>I288*0.04</f>
        <v>258.94875616796787</v>
      </c>
      <c r="O288" s="58">
        <f t="shared" si="373"/>
        <v>6732.6676603671649</v>
      </c>
      <c r="P288" s="61">
        <f t="shared" si="374"/>
        <v>13465.33532073433</v>
      </c>
      <c r="Q288" s="61">
        <f t="shared" si="375"/>
        <v>10099.001490550747</v>
      </c>
      <c r="R288" s="61">
        <f t="shared" si="376"/>
        <v>3366.3338301835824</v>
      </c>
      <c r="S288" s="61">
        <f t="shared" si="377"/>
        <v>448.84451069114431</v>
      </c>
      <c r="T288" s="58">
        <f t="shared" si="378"/>
        <v>515.22861382236454</v>
      </c>
      <c r="U288" s="61">
        <f t="shared" si="379"/>
        <v>5049.5007452753734</v>
      </c>
      <c r="V288" s="58">
        <f t="shared" si="380"/>
        <v>1683.1669150917912</v>
      </c>
      <c r="W288" s="62">
        <v>2.5000000000000001E-2</v>
      </c>
      <c r="X288" s="63">
        <f t="shared" si="381"/>
        <v>336.63338301835824</v>
      </c>
      <c r="Y288" s="61">
        <v>785.81062617192117</v>
      </c>
      <c r="Z288" s="61">
        <v>0</v>
      </c>
      <c r="AA288" s="61">
        <f t="shared" si="382"/>
        <v>1683.1669150917912</v>
      </c>
      <c r="AB288" s="61">
        <f t="shared" si="383"/>
        <v>336.63338301835824</v>
      </c>
      <c r="AC288" s="61">
        <v>2198.7371959322072</v>
      </c>
      <c r="AD288" s="61">
        <v>1350.4399582591086</v>
      </c>
      <c r="AE288" s="61">
        <v>798.60435142466508</v>
      </c>
      <c r="AF288" s="61">
        <v>0</v>
      </c>
      <c r="AG288" s="61">
        <f t="shared" si="384"/>
        <v>464.55406856533432</v>
      </c>
      <c r="AH288" s="64"/>
      <c r="AI288" s="64"/>
      <c r="AJ288" s="51">
        <v>3</v>
      </c>
      <c r="AK288" s="73" t="s">
        <v>66</v>
      </c>
      <c r="AL288" s="83">
        <v>10059</v>
      </c>
      <c r="AM288" s="73" t="s">
        <v>424</v>
      </c>
      <c r="AN288" s="210" t="s">
        <v>425</v>
      </c>
      <c r="AO288" s="65">
        <f>Q288*12</f>
        <v>121188.01788660896</v>
      </c>
      <c r="AP288" s="65">
        <f>R288*12</f>
        <v>40396.005962202988</v>
      </c>
      <c r="AQ288" s="65">
        <f t="shared" si="385"/>
        <v>4039.6005962202989</v>
      </c>
      <c r="AR288" s="65">
        <f t="shared" si="385"/>
        <v>9429.7275140630536</v>
      </c>
      <c r="AS288" s="65">
        <f t="shared" si="385"/>
        <v>0</v>
      </c>
      <c r="AT288" s="65">
        <f t="shared" si="385"/>
        <v>20198.002981101494</v>
      </c>
      <c r="AU288" s="65">
        <f t="shared" si="385"/>
        <v>4039.6005962202989</v>
      </c>
      <c r="AV288" s="65">
        <f t="shared" si="385"/>
        <v>26384.846351186487</v>
      </c>
      <c r="AW288" s="65">
        <f t="shared" si="385"/>
        <v>16205.279499109303</v>
      </c>
      <c r="AX288" s="65">
        <f t="shared" si="385"/>
        <v>9583.2522170959819</v>
      </c>
      <c r="AY288" s="65">
        <f t="shared" si="385"/>
        <v>0</v>
      </c>
      <c r="AZ288" s="65">
        <f t="shared" si="385"/>
        <v>5574.6488227840118</v>
      </c>
      <c r="BA288" s="50"/>
      <c r="BB288" s="64"/>
      <c r="BC288" s="66"/>
      <c r="BD288" s="66"/>
      <c r="BE288" s="66"/>
      <c r="BF288" s="50"/>
      <c r="BG288" s="50"/>
      <c r="BH288" s="50"/>
      <c r="BI288" s="50"/>
      <c r="BJ288" s="50"/>
      <c r="BK288" s="50"/>
      <c r="BL288" s="50"/>
      <c r="BM288" s="50"/>
      <c r="BN288" s="50"/>
      <c r="BO288" s="50"/>
      <c r="BP288" s="50"/>
      <c r="BQ288" s="50"/>
      <c r="BR288" s="50"/>
      <c r="BS288" s="50"/>
      <c r="BT288" s="50"/>
      <c r="BU288" s="50"/>
      <c r="BV288" s="50"/>
      <c r="BW288" s="50"/>
      <c r="BX288" s="50"/>
      <c r="BY288" s="50"/>
      <c r="BZ288" s="50"/>
      <c r="CA288" s="50"/>
      <c r="CB288" s="50"/>
      <c r="CC288" s="50"/>
      <c r="CD288" s="50"/>
      <c r="CE288" s="50"/>
      <c r="CF288" s="50"/>
      <c r="CG288" s="50"/>
      <c r="CH288" s="50"/>
      <c r="CI288" s="50"/>
      <c r="CJ288" s="50"/>
      <c r="CK288" s="50"/>
      <c r="CL288" s="50"/>
      <c r="CM288" s="50"/>
      <c r="CN288" s="50"/>
      <c r="CO288" s="50"/>
      <c r="CP288" s="50"/>
      <c r="CQ288" s="50"/>
      <c r="CR288" s="50"/>
      <c r="CS288" s="50"/>
      <c r="CT288" s="50"/>
      <c r="CU288" s="50"/>
      <c r="CV288" s="50"/>
      <c r="CW288" s="50"/>
      <c r="CX288" s="50"/>
      <c r="CY288" s="50"/>
      <c r="CZ288" s="50"/>
      <c r="DA288" s="50"/>
      <c r="DB288" s="50"/>
      <c r="DC288" s="50"/>
      <c r="DD288" s="50"/>
      <c r="DE288" s="50"/>
      <c r="DF288" s="50"/>
      <c r="DG288" s="50"/>
      <c r="DH288" s="50"/>
      <c r="DI288" s="50"/>
      <c r="DJ288" s="50"/>
      <c r="DK288" s="50"/>
      <c r="DL288" s="50"/>
      <c r="DM288" s="50"/>
      <c r="DN288" s="50"/>
      <c r="DO288" s="50"/>
      <c r="DP288" s="50"/>
      <c r="DQ288" s="50"/>
      <c r="DR288" s="50"/>
      <c r="DS288" s="50"/>
      <c r="DT288" s="50"/>
      <c r="DU288" s="50"/>
      <c r="DV288" s="50"/>
      <c r="DW288" s="50"/>
      <c r="DX288" s="50"/>
      <c r="DY288" s="50"/>
      <c r="DZ288" s="50"/>
      <c r="EA288" s="50"/>
      <c r="EB288" s="50"/>
      <c r="EC288" s="50"/>
      <c r="ED288" s="50"/>
      <c r="EE288" s="50"/>
      <c r="EF288" s="50"/>
      <c r="EG288" s="50"/>
      <c r="EH288" s="50"/>
      <c r="EI288" s="50"/>
      <c r="EJ288" s="50"/>
      <c r="EK288" s="50"/>
      <c r="EL288" s="50"/>
      <c r="EM288" s="50"/>
      <c r="EN288" s="50"/>
      <c r="EO288" s="50"/>
      <c r="EP288" s="50"/>
      <c r="EQ288" s="50"/>
      <c r="ER288" s="50"/>
      <c r="ES288" s="50"/>
      <c r="ET288" s="50"/>
      <c r="EU288" s="50"/>
      <c r="EV288" s="50"/>
      <c r="EW288" s="50"/>
      <c r="EX288" s="50"/>
      <c r="EY288" s="50"/>
      <c r="EZ288" s="50"/>
      <c r="FA288" s="50"/>
      <c r="FB288" s="50"/>
      <c r="FC288" s="50"/>
      <c r="FD288" s="50"/>
      <c r="FE288" s="50"/>
      <c r="FF288" s="50"/>
      <c r="FG288" s="50"/>
      <c r="FH288" s="50"/>
      <c r="FI288" s="50"/>
      <c r="FJ288" s="50"/>
      <c r="FK288" s="50"/>
      <c r="FL288" s="50"/>
      <c r="FM288" s="50"/>
      <c r="FN288" s="50"/>
      <c r="FO288" s="50"/>
      <c r="FP288" s="50"/>
      <c r="FQ288" s="50"/>
      <c r="FR288" s="50"/>
      <c r="FS288" s="50"/>
      <c r="FT288" s="50"/>
      <c r="FU288" s="50"/>
    </row>
    <row r="289" spans="1:177" s="364" customFormat="1" ht="21" customHeight="1" x14ac:dyDescent="0.2">
      <c r="B289" s="365">
        <v>4</v>
      </c>
      <c r="C289" s="372" t="s">
        <v>66</v>
      </c>
      <c r="D289" s="412"/>
      <c r="E289" s="375" t="s">
        <v>55</v>
      </c>
      <c r="F289" s="378" t="s">
        <v>426</v>
      </c>
      <c r="G289" s="384"/>
      <c r="H289" s="56"/>
      <c r="I289" s="57">
        <v>4913.376968141848</v>
      </c>
      <c r="J289" s="58">
        <v>5984.31</v>
      </c>
      <c r="K289" s="172">
        <f>J289-I289</f>
        <v>1070.9330318581524</v>
      </c>
      <c r="L289" s="173">
        <f>K289*100/I289</f>
        <v>21.796272478216956</v>
      </c>
      <c r="M289" s="60">
        <v>2.1800000000000001E-3</v>
      </c>
      <c r="N289" s="61">
        <f>I289*0.2179</f>
        <v>1070.6248413581088</v>
      </c>
      <c r="O289" s="58">
        <f t="shared" si="373"/>
        <v>5984.0018094999568</v>
      </c>
      <c r="P289" s="61">
        <f t="shared" si="374"/>
        <v>11968.003618999914</v>
      </c>
      <c r="Q289" s="61">
        <f t="shared" si="375"/>
        <v>8976.0027142499348</v>
      </c>
      <c r="R289" s="61">
        <f t="shared" si="376"/>
        <v>2992.0009047499784</v>
      </c>
      <c r="S289" s="61">
        <f t="shared" si="377"/>
        <v>398.93345396666376</v>
      </c>
      <c r="T289" s="58">
        <f t="shared" si="378"/>
        <v>457.93571180833328</v>
      </c>
      <c r="U289" s="61">
        <f t="shared" si="379"/>
        <v>4488.0013571249674</v>
      </c>
      <c r="V289" s="58">
        <f t="shared" si="380"/>
        <v>1496.0004523749892</v>
      </c>
      <c r="W289" s="101">
        <v>0</v>
      </c>
      <c r="X289" s="63">
        <f t="shared" si="381"/>
        <v>0</v>
      </c>
      <c r="Y289" s="61">
        <v>663.67865599999993</v>
      </c>
      <c r="Z289" s="61">
        <v>0</v>
      </c>
      <c r="AA289" s="61">
        <f t="shared" si="382"/>
        <v>1496.0004523749892</v>
      </c>
      <c r="AB289" s="61">
        <f t="shared" si="383"/>
        <v>299.20009047499781</v>
      </c>
      <c r="AC289" s="61">
        <v>2015.2214249096633</v>
      </c>
      <c r="AD289" s="61">
        <v>1200.2723974352318</v>
      </c>
      <c r="AE289" s="61">
        <v>709.80035330291662</v>
      </c>
      <c r="AF289" s="61">
        <v>0</v>
      </c>
      <c r="AG289" s="61">
        <f t="shared" si="384"/>
        <v>412.89612485549702</v>
      </c>
      <c r="AH289" s="64"/>
      <c r="AI289" s="64"/>
      <c r="AJ289" s="365">
        <v>4</v>
      </c>
      <c r="AK289" s="372" t="s">
        <v>66</v>
      </c>
      <c r="AL289" s="412"/>
      <c r="AM289" s="375" t="s">
        <v>55</v>
      </c>
      <c r="AN289" s="378" t="s">
        <v>426</v>
      </c>
      <c r="AO289" s="368">
        <f t="shared" ref="AO289:AP289" si="386">Q289*3</f>
        <v>26928.008142749804</v>
      </c>
      <c r="AP289" s="368">
        <f t="shared" si="386"/>
        <v>8976.0027142499348</v>
      </c>
      <c r="AQ289" s="368">
        <f t="shared" ref="AQ289:AZ289" si="387">X289*3</f>
        <v>0</v>
      </c>
      <c r="AR289" s="368">
        <f t="shared" si="387"/>
        <v>1991.0359679999997</v>
      </c>
      <c r="AS289" s="368">
        <f t="shared" si="387"/>
        <v>0</v>
      </c>
      <c r="AT289" s="368">
        <f t="shared" si="387"/>
        <v>4488.0013571249674</v>
      </c>
      <c r="AU289" s="368">
        <f t="shared" si="387"/>
        <v>897.60027142499348</v>
      </c>
      <c r="AV289" s="368">
        <f t="shared" si="387"/>
        <v>6045.6642747289898</v>
      </c>
      <c r="AW289" s="368">
        <f t="shared" si="387"/>
        <v>3600.8171923056952</v>
      </c>
      <c r="AX289" s="368">
        <f t="shared" si="387"/>
        <v>2129.4010599087496</v>
      </c>
      <c r="AY289" s="368">
        <f t="shared" si="387"/>
        <v>0</v>
      </c>
      <c r="AZ289" s="368">
        <f t="shared" si="387"/>
        <v>1238.6883745664911</v>
      </c>
      <c r="BB289" s="64"/>
      <c r="BC289" s="66"/>
      <c r="BD289" s="66"/>
      <c r="BE289" s="66"/>
      <c r="BI289" s="413"/>
    </row>
    <row r="290" spans="1:177" ht="21" customHeight="1" x14ac:dyDescent="0.2">
      <c r="B290" s="67">
        <v>5</v>
      </c>
      <c r="C290" s="73" t="s">
        <v>66</v>
      </c>
      <c r="D290" s="78">
        <v>20021</v>
      </c>
      <c r="E290" s="72" t="s">
        <v>427</v>
      </c>
      <c r="F290" s="72" t="s">
        <v>428</v>
      </c>
      <c r="G290" s="56">
        <v>44927</v>
      </c>
      <c r="H290" s="56" t="str">
        <f xml:space="preserve"> CONCATENATE(DATEDIF(G290,H$5,"Y")," AÑOS")</f>
        <v>1 AÑOS</v>
      </c>
      <c r="I290" s="57">
        <v>5806.8895313095809</v>
      </c>
      <c r="J290" s="58"/>
      <c r="K290" s="58"/>
      <c r="L290" s="59"/>
      <c r="M290" s="60">
        <v>4.0000000000000002E-4</v>
      </c>
      <c r="N290" s="61">
        <f>I290*0.04</f>
        <v>232.27558125238323</v>
      </c>
      <c r="O290" s="58">
        <f t="shared" si="373"/>
        <v>6039.1651125619637</v>
      </c>
      <c r="P290" s="61">
        <f t="shared" si="374"/>
        <v>12078.330225123927</v>
      </c>
      <c r="Q290" s="61">
        <f t="shared" si="375"/>
        <v>9058.7476688429451</v>
      </c>
      <c r="R290" s="61">
        <f t="shared" si="376"/>
        <v>3019.5825562809819</v>
      </c>
      <c r="S290" s="61">
        <f t="shared" si="377"/>
        <v>402.6110075041309</v>
      </c>
      <c r="T290" s="58">
        <f t="shared" si="378"/>
        <v>462.15717551399183</v>
      </c>
      <c r="U290" s="61">
        <f t="shared" si="379"/>
        <v>4529.3738344214726</v>
      </c>
      <c r="V290" s="58">
        <f t="shared" si="380"/>
        <v>1509.7912781404909</v>
      </c>
      <c r="W290" s="101">
        <v>0</v>
      </c>
      <c r="X290" s="63">
        <f t="shared" si="381"/>
        <v>0</v>
      </c>
      <c r="Y290" s="61">
        <v>672.63101037011234</v>
      </c>
      <c r="Z290" s="61">
        <v>0</v>
      </c>
      <c r="AA290" s="61">
        <f t="shared" si="382"/>
        <v>1509.7912781404909</v>
      </c>
      <c r="AB290" s="61">
        <f t="shared" si="383"/>
        <v>301.95825562809819</v>
      </c>
      <c r="AC290" s="61">
        <v>2028.7432598936525</v>
      </c>
      <c r="AD290" s="61">
        <v>1211.3370648809482</v>
      </c>
      <c r="AE290" s="61">
        <v>716.34362204668741</v>
      </c>
      <c r="AF290" s="61">
        <v>0</v>
      </c>
      <c r="AG290" s="61">
        <f t="shared" si="384"/>
        <v>416.70239276677546</v>
      </c>
      <c r="AH290" s="64"/>
      <c r="AI290" s="64"/>
      <c r="AJ290" s="67">
        <v>5</v>
      </c>
      <c r="AK290" s="73" t="s">
        <v>66</v>
      </c>
      <c r="AL290" s="78">
        <v>20021</v>
      </c>
      <c r="AM290" s="72" t="s">
        <v>427</v>
      </c>
      <c r="AN290" s="72" t="s">
        <v>428</v>
      </c>
      <c r="AO290" s="138">
        <f t="shared" ref="AO290:AP292" si="388">Q290*12</f>
        <v>108704.97202611534</v>
      </c>
      <c r="AP290" s="65">
        <f t="shared" si="388"/>
        <v>36234.990675371781</v>
      </c>
      <c r="AQ290" s="65">
        <f t="shared" ref="AQ290:AZ292" si="389">X290*12</f>
        <v>0</v>
      </c>
      <c r="AR290" s="65">
        <f t="shared" si="389"/>
        <v>8071.572124441348</v>
      </c>
      <c r="AS290" s="65">
        <f t="shared" si="389"/>
        <v>0</v>
      </c>
      <c r="AT290" s="65">
        <f t="shared" si="389"/>
        <v>18117.49533768589</v>
      </c>
      <c r="AU290" s="65">
        <f t="shared" si="389"/>
        <v>3623.4990675371782</v>
      </c>
      <c r="AV290" s="65">
        <f t="shared" si="389"/>
        <v>24344.919118723832</v>
      </c>
      <c r="AW290" s="65">
        <f t="shared" si="389"/>
        <v>14536.044778571379</v>
      </c>
      <c r="AX290" s="65">
        <f t="shared" si="389"/>
        <v>8596.123464560249</v>
      </c>
      <c r="AY290" s="65">
        <f t="shared" si="389"/>
        <v>0</v>
      </c>
      <c r="AZ290" s="65">
        <f t="shared" si="389"/>
        <v>5000.4287132013051</v>
      </c>
      <c r="BB290" s="64"/>
      <c r="BC290" s="66"/>
      <c r="BD290" s="66"/>
      <c r="BE290" s="66"/>
    </row>
    <row r="291" spans="1:177" ht="21" customHeight="1" x14ac:dyDescent="0.2">
      <c r="B291" s="51">
        <v>6</v>
      </c>
      <c r="C291" s="212" t="s">
        <v>66</v>
      </c>
      <c r="D291" s="127">
        <v>10048</v>
      </c>
      <c r="E291" s="73" t="s">
        <v>429</v>
      </c>
      <c r="F291" s="192" t="s">
        <v>430</v>
      </c>
      <c r="G291" s="169">
        <v>41217</v>
      </c>
      <c r="H291" s="56" t="str">
        <f xml:space="preserve"> CONCATENATE(DATEDIF(G291,H$5,"Y")," AÑOS")</f>
        <v>12 AÑOS</v>
      </c>
      <c r="I291" s="213">
        <v>6063.7985650654873</v>
      </c>
      <c r="J291" s="57"/>
      <c r="K291" s="57"/>
      <c r="L291" s="74"/>
      <c r="M291" s="171">
        <v>4.0000000000000002E-4</v>
      </c>
      <c r="N291" s="61">
        <f>I291*0.04</f>
        <v>242.5519426026195</v>
      </c>
      <c r="O291" s="58">
        <f t="shared" si="373"/>
        <v>6306.3505076681067</v>
      </c>
      <c r="P291" s="61">
        <f t="shared" si="374"/>
        <v>12612.701015336213</v>
      </c>
      <c r="Q291" s="61">
        <f t="shared" si="375"/>
        <v>9459.5257615021601</v>
      </c>
      <c r="R291" s="61">
        <f t="shared" si="376"/>
        <v>3153.1752538340534</v>
      </c>
      <c r="S291" s="61">
        <f t="shared" si="377"/>
        <v>420.42336717787379</v>
      </c>
      <c r="T291" s="58">
        <f t="shared" si="378"/>
        <v>482.60398318348126</v>
      </c>
      <c r="U291" s="61">
        <f t="shared" si="379"/>
        <v>4729.76288075108</v>
      </c>
      <c r="V291" s="58">
        <f t="shared" si="380"/>
        <v>1576.5876269170267</v>
      </c>
      <c r="W291" s="101">
        <v>0.05</v>
      </c>
      <c r="X291" s="63">
        <f t="shared" si="381"/>
        <v>630.63505076681076</v>
      </c>
      <c r="Y291" s="61">
        <v>716.23566685143487</v>
      </c>
      <c r="Z291" s="61">
        <v>0</v>
      </c>
      <c r="AA291" s="61">
        <f t="shared" si="382"/>
        <v>1576.5876269170267</v>
      </c>
      <c r="AB291" s="61">
        <f t="shared" si="383"/>
        <v>315.31752538340533</v>
      </c>
      <c r="AC291" s="61">
        <v>2094.2367423759515</v>
      </c>
      <c r="AD291" s="61">
        <v>1264.9291701230636</v>
      </c>
      <c r="AE291" s="61">
        <v>748.03617393439606</v>
      </c>
      <c r="AF291" s="61">
        <v>0</v>
      </c>
      <c r="AG291" s="61">
        <f t="shared" si="384"/>
        <v>435.1381850290993</v>
      </c>
      <c r="AH291" s="64"/>
      <c r="AI291" s="64"/>
      <c r="AJ291" s="51">
        <v>6</v>
      </c>
      <c r="AK291" s="212" t="s">
        <v>66</v>
      </c>
      <c r="AL291" s="127">
        <v>10048</v>
      </c>
      <c r="AM291" s="73" t="s">
        <v>429</v>
      </c>
      <c r="AN291" s="192" t="s">
        <v>430</v>
      </c>
      <c r="AO291" s="138">
        <f t="shared" si="388"/>
        <v>113514.30913802591</v>
      </c>
      <c r="AP291" s="65">
        <f t="shared" si="388"/>
        <v>37838.10304600864</v>
      </c>
      <c r="AQ291" s="65">
        <f t="shared" si="389"/>
        <v>7567.6206092017292</v>
      </c>
      <c r="AR291" s="65">
        <f t="shared" si="389"/>
        <v>8594.8280022172185</v>
      </c>
      <c r="AS291" s="65">
        <f t="shared" si="389"/>
        <v>0</v>
      </c>
      <c r="AT291" s="65">
        <f t="shared" si="389"/>
        <v>18919.05152300432</v>
      </c>
      <c r="AU291" s="65">
        <f t="shared" si="389"/>
        <v>3783.8103046008637</v>
      </c>
      <c r="AV291" s="65">
        <f t="shared" si="389"/>
        <v>25130.840908511418</v>
      </c>
      <c r="AW291" s="65">
        <f t="shared" si="389"/>
        <v>15179.150041476763</v>
      </c>
      <c r="AX291" s="65">
        <f t="shared" si="389"/>
        <v>8976.4340872127523</v>
      </c>
      <c r="AY291" s="65">
        <f t="shared" si="389"/>
        <v>0</v>
      </c>
      <c r="AZ291" s="65">
        <f t="shared" si="389"/>
        <v>5221.6582203491917</v>
      </c>
      <c r="BB291" s="64"/>
      <c r="BC291" s="66"/>
      <c r="BD291" s="66"/>
      <c r="BE291" s="66"/>
    </row>
    <row r="292" spans="1:177" ht="21" customHeight="1" x14ac:dyDescent="0.2">
      <c r="B292" s="67">
        <v>7</v>
      </c>
      <c r="C292" s="73" t="s">
        <v>66</v>
      </c>
      <c r="D292" s="78">
        <v>10036</v>
      </c>
      <c r="E292" s="53" t="s">
        <v>431</v>
      </c>
      <c r="F292" s="72" t="s">
        <v>430</v>
      </c>
      <c r="G292" s="55">
        <v>40106</v>
      </c>
      <c r="H292" s="56" t="str">
        <f xml:space="preserve"> CONCATENATE(DATEDIF(G292,H$5,"Y")," AÑOS")</f>
        <v>15 AÑOS</v>
      </c>
      <c r="I292" s="57">
        <v>6063.7985650654873</v>
      </c>
      <c r="J292" s="58"/>
      <c r="K292" s="58"/>
      <c r="L292" s="59"/>
      <c r="M292" s="60">
        <v>4.0000000000000002E-4</v>
      </c>
      <c r="N292" s="61">
        <f>I292*0.04</f>
        <v>242.5519426026195</v>
      </c>
      <c r="O292" s="58">
        <f t="shared" si="373"/>
        <v>6306.3505076681067</v>
      </c>
      <c r="P292" s="61">
        <f t="shared" si="374"/>
        <v>12612.701015336213</v>
      </c>
      <c r="Q292" s="61">
        <f t="shared" si="375"/>
        <v>9459.5257615021601</v>
      </c>
      <c r="R292" s="61">
        <f t="shared" si="376"/>
        <v>3153.1752538340534</v>
      </c>
      <c r="S292" s="61">
        <f t="shared" si="377"/>
        <v>420.42336717787379</v>
      </c>
      <c r="T292" s="58">
        <f t="shared" si="378"/>
        <v>482.60398318348126</v>
      </c>
      <c r="U292" s="61">
        <f t="shared" si="379"/>
        <v>4729.76288075108</v>
      </c>
      <c r="V292" s="58">
        <f t="shared" si="380"/>
        <v>1576.5876269170267</v>
      </c>
      <c r="W292" s="101">
        <v>7.4999999999999997E-2</v>
      </c>
      <c r="X292" s="63">
        <f t="shared" si="381"/>
        <v>945.95257615021592</v>
      </c>
      <c r="Y292" s="61">
        <v>716.23566685143487</v>
      </c>
      <c r="Z292" s="61">
        <v>0</v>
      </c>
      <c r="AA292" s="61">
        <f t="shared" si="382"/>
        <v>1576.5876269170267</v>
      </c>
      <c r="AB292" s="61">
        <f t="shared" si="383"/>
        <v>315.31752538340533</v>
      </c>
      <c r="AC292" s="61">
        <v>2094.2367423759515</v>
      </c>
      <c r="AD292" s="61">
        <v>1264.9291701230636</v>
      </c>
      <c r="AE292" s="61">
        <v>748.03617393439606</v>
      </c>
      <c r="AF292" s="61">
        <v>0</v>
      </c>
      <c r="AG292" s="61">
        <f t="shared" si="384"/>
        <v>435.1381850290993</v>
      </c>
      <c r="AH292" s="64"/>
      <c r="AI292" s="64"/>
      <c r="AJ292" s="67">
        <v>7</v>
      </c>
      <c r="AK292" s="73" t="s">
        <v>66</v>
      </c>
      <c r="AL292" s="78">
        <v>10036</v>
      </c>
      <c r="AM292" s="53" t="s">
        <v>431</v>
      </c>
      <c r="AN292" s="72" t="s">
        <v>430</v>
      </c>
      <c r="AO292" s="138">
        <f t="shared" si="388"/>
        <v>113514.30913802591</v>
      </c>
      <c r="AP292" s="65">
        <f t="shared" si="388"/>
        <v>37838.10304600864</v>
      </c>
      <c r="AQ292" s="65">
        <f t="shared" si="389"/>
        <v>11351.430913802591</v>
      </c>
      <c r="AR292" s="65">
        <f t="shared" si="389"/>
        <v>8594.8280022172185</v>
      </c>
      <c r="AS292" s="65">
        <f t="shared" si="389"/>
        <v>0</v>
      </c>
      <c r="AT292" s="65">
        <f t="shared" si="389"/>
        <v>18919.05152300432</v>
      </c>
      <c r="AU292" s="65">
        <f t="shared" si="389"/>
        <v>3783.8103046008637</v>
      </c>
      <c r="AV292" s="65">
        <f t="shared" si="389"/>
        <v>25130.840908511418</v>
      </c>
      <c r="AW292" s="65">
        <f t="shared" si="389"/>
        <v>15179.150041476763</v>
      </c>
      <c r="AX292" s="65">
        <f t="shared" si="389"/>
        <v>8976.4340872127523</v>
      </c>
      <c r="AY292" s="65">
        <f t="shared" si="389"/>
        <v>0</v>
      </c>
      <c r="AZ292" s="65">
        <f t="shared" si="389"/>
        <v>5221.6582203491917</v>
      </c>
      <c r="BB292" s="64"/>
      <c r="BC292" s="66"/>
      <c r="BD292" s="66"/>
      <c r="BE292" s="66"/>
    </row>
    <row r="293" spans="1:177" s="96" customFormat="1" ht="21" customHeight="1" x14ac:dyDescent="0.2">
      <c r="A293" s="50"/>
      <c r="B293" s="455" t="s">
        <v>99</v>
      </c>
      <c r="C293" s="456"/>
      <c r="D293" s="456"/>
      <c r="E293" s="143">
        <v>7</v>
      </c>
      <c r="F293" s="88" t="s">
        <v>100</v>
      </c>
      <c r="G293" s="89"/>
      <c r="H293" s="89"/>
      <c r="I293" s="91">
        <f t="shared" ref="I293:AG293" si="390">SUM(I287:I292)</f>
        <v>32967.417808104467</v>
      </c>
      <c r="J293" s="91">
        <f t="shared" si="390"/>
        <v>10251.36</v>
      </c>
      <c r="K293" s="91">
        <f t="shared" si="390"/>
        <v>1692.1477575352887</v>
      </c>
      <c r="L293" s="91">
        <f t="shared" si="390"/>
        <v>38.835295882600299</v>
      </c>
      <c r="M293" s="91">
        <f t="shared" si="390"/>
        <v>5.5200000000000006E-3</v>
      </c>
      <c r="N293" s="91">
        <f t="shared" si="390"/>
        <v>2668.2033947283148</v>
      </c>
      <c r="O293" s="91">
        <f t="shared" si="390"/>
        <v>35635.621202832779</v>
      </c>
      <c r="P293" s="91">
        <f t="shared" si="390"/>
        <v>71271.242405665558</v>
      </c>
      <c r="Q293" s="91">
        <f t="shared" si="390"/>
        <v>53453.431804249165</v>
      </c>
      <c r="R293" s="91">
        <f t="shared" si="390"/>
        <v>17817.81060141639</v>
      </c>
      <c r="S293" s="91">
        <f t="shared" si="390"/>
        <v>2375.7080801888519</v>
      </c>
      <c r="T293" s="91">
        <f t="shared" si="390"/>
        <v>2727.075305248783</v>
      </c>
      <c r="U293" s="91">
        <f t="shared" si="390"/>
        <v>26726.715902124582</v>
      </c>
      <c r="V293" s="91">
        <f t="shared" si="390"/>
        <v>8908.9053007081948</v>
      </c>
      <c r="W293" s="91">
        <f t="shared" si="390"/>
        <v>0.15000000000000002</v>
      </c>
      <c r="X293" s="91">
        <f t="shared" si="390"/>
        <v>1913.2210099353849</v>
      </c>
      <c r="Y293" s="91">
        <f t="shared" si="390"/>
        <v>3687.811626244903</v>
      </c>
      <c r="Z293" s="91">
        <f t="shared" si="390"/>
        <v>0</v>
      </c>
      <c r="AA293" s="91">
        <f t="shared" si="390"/>
        <v>8908.9053007081948</v>
      </c>
      <c r="AB293" s="91">
        <f t="shared" si="390"/>
        <v>1781.781060141639</v>
      </c>
      <c r="AC293" s="91">
        <f t="shared" si="390"/>
        <v>12028.903759946781</v>
      </c>
      <c r="AD293" s="91">
        <f t="shared" si="390"/>
        <v>7090.1000792941704</v>
      </c>
      <c r="AE293" s="91">
        <f t="shared" si="390"/>
        <v>4226.9667231356143</v>
      </c>
      <c r="AF293" s="91">
        <f t="shared" si="390"/>
        <v>0</v>
      </c>
      <c r="AG293" s="91">
        <f t="shared" si="390"/>
        <v>2458.8578629954613</v>
      </c>
      <c r="AH293" s="92"/>
      <c r="AI293" s="92"/>
      <c r="AJ293" s="455" t="s">
        <v>99</v>
      </c>
      <c r="AK293" s="456"/>
      <c r="AL293" s="456"/>
      <c r="AM293" s="143">
        <v>7</v>
      </c>
      <c r="AN293" s="88" t="s">
        <v>100</v>
      </c>
      <c r="AO293" s="144">
        <f>SUM(AO287:AO292)+166846.33</f>
        <v>727503.48722274054</v>
      </c>
      <c r="AP293" s="144">
        <f>SUM(AP287:AP292)+55615.44</f>
        <v>242501.15907424685</v>
      </c>
      <c r="AQ293" s="144">
        <f>SUM(AQ287:AQ292)+8287</f>
        <v>31245.652119224622</v>
      </c>
      <c r="AR293" s="144">
        <f>SUM(AR287:AR292)+12519.59</f>
        <v>50800.221610938839</v>
      </c>
      <c r="AS293" s="144">
        <f t="shared" ref="AS293:AY293" si="391">SUM(AS287:AS292)</f>
        <v>0</v>
      </c>
      <c r="AT293" s="144">
        <f>SUM(AT287:AT292)+27807.72</f>
        <v>121250.57953712343</v>
      </c>
      <c r="AU293" s="144">
        <f>SUM(AU287:AU292)+5561.54</f>
        <v>24250.111907424689</v>
      </c>
      <c r="AV293" s="144">
        <f>SUM(AV287:AV292)+37136.54</f>
        <v>163346.39229517442</v>
      </c>
      <c r="AW293" s="144">
        <f>SUM(AW287:AW292)+22310.72</f>
        <v>96589.469374612963</v>
      </c>
      <c r="AX293" s="144">
        <f>SUM(AX287:AX292)+13193.8</f>
        <v>57529.197497901114</v>
      </c>
      <c r="AY293" s="144">
        <f t="shared" si="391"/>
        <v>0</v>
      </c>
      <c r="AZ293" s="144">
        <f>SUM(AZ287:AZ292)+7674.93</f>
        <v>33465.159232246064</v>
      </c>
      <c r="BA293" s="94"/>
      <c r="BB293" s="92"/>
      <c r="BC293" s="95"/>
      <c r="BD293" s="95"/>
      <c r="BE293" s="95"/>
      <c r="BF293" s="50"/>
      <c r="BG293" s="50"/>
      <c r="BH293" s="50"/>
      <c r="BI293" s="50"/>
      <c r="BJ293" s="50"/>
      <c r="BK293" s="50"/>
      <c r="BL293" s="50"/>
      <c r="BM293" s="50"/>
      <c r="BN293" s="50"/>
      <c r="BO293" s="50"/>
      <c r="BP293" s="50"/>
      <c r="BQ293" s="50"/>
      <c r="BR293" s="50"/>
      <c r="BS293" s="50"/>
      <c r="BT293" s="50"/>
      <c r="BU293" s="50"/>
      <c r="BV293" s="50"/>
      <c r="BW293" s="50"/>
      <c r="BX293" s="50"/>
      <c r="BY293" s="50"/>
      <c r="BZ293" s="50"/>
      <c r="CA293" s="50"/>
      <c r="CB293" s="50"/>
      <c r="CC293" s="50"/>
      <c r="CD293" s="50"/>
      <c r="CE293" s="50"/>
      <c r="CF293" s="50"/>
      <c r="CG293" s="50"/>
      <c r="CH293" s="50"/>
      <c r="CI293" s="50"/>
      <c r="CJ293" s="50"/>
      <c r="CK293" s="50"/>
      <c r="CL293" s="50"/>
      <c r="CM293" s="50"/>
      <c r="CN293" s="50"/>
      <c r="CO293" s="50"/>
      <c r="CP293" s="50"/>
      <c r="CQ293" s="50"/>
      <c r="CR293" s="50"/>
      <c r="CS293" s="50"/>
      <c r="CT293" s="50"/>
      <c r="CU293" s="50"/>
      <c r="CV293" s="50"/>
      <c r="CW293" s="50"/>
      <c r="CX293" s="50"/>
      <c r="CY293" s="50"/>
      <c r="CZ293" s="50"/>
      <c r="DA293" s="50"/>
      <c r="DB293" s="50"/>
      <c r="DC293" s="50"/>
      <c r="DD293" s="50"/>
      <c r="DE293" s="50"/>
      <c r="DF293" s="50"/>
      <c r="DG293" s="50"/>
      <c r="DH293" s="50"/>
      <c r="DI293" s="50"/>
      <c r="DJ293" s="50"/>
      <c r="DK293" s="50"/>
      <c r="DL293" s="50"/>
      <c r="DM293" s="50"/>
      <c r="DN293" s="50"/>
      <c r="DO293" s="50"/>
      <c r="DP293" s="50"/>
      <c r="DQ293" s="50"/>
      <c r="DR293" s="50"/>
      <c r="DS293" s="50"/>
      <c r="DT293" s="50"/>
      <c r="DU293" s="50"/>
      <c r="DV293" s="50"/>
      <c r="DW293" s="50"/>
      <c r="DX293" s="50"/>
      <c r="DY293" s="50"/>
      <c r="DZ293" s="50"/>
      <c r="EA293" s="50"/>
      <c r="EB293" s="50"/>
      <c r="EC293" s="50"/>
      <c r="ED293" s="50"/>
      <c r="EE293" s="50"/>
      <c r="EF293" s="50"/>
      <c r="EG293" s="50"/>
      <c r="EH293" s="50"/>
      <c r="EI293" s="50"/>
      <c r="EJ293" s="50"/>
      <c r="EK293" s="50"/>
      <c r="EL293" s="50"/>
      <c r="EM293" s="50"/>
      <c r="EN293" s="50"/>
      <c r="EO293" s="50"/>
      <c r="EP293" s="50"/>
      <c r="EQ293" s="50"/>
      <c r="ER293" s="50"/>
      <c r="ES293" s="50"/>
      <c r="ET293" s="50"/>
      <c r="EU293" s="50"/>
      <c r="EV293" s="50"/>
      <c r="EW293" s="50"/>
      <c r="EX293" s="50"/>
      <c r="EY293" s="50"/>
      <c r="EZ293" s="50"/>
      <c r="FA293" s="50"/>
      <c r="FB293" s="50"/>
      <c r="FC293" s="50"/>
      <c r="FD293" s="50"/>
      <c r="FE293" s="50"/>
      <c r="FF293" s="50"/>
      <c r="FG293" s="50"/>
      <c r="FH293" s="50"/>
      <c r="FI293" s="50"/>
      <c r="FJ293" s="50"/>
      <c r="FK293" s="50"/>
      <c r="FL293" s="50"/>
      <c r="FM293" s="50"/>
      <c r="FN293" s="50"/>
      <c r="FO293" s="50"/>
      <c r="FP293" s="50"/>
      <c r="FQ293" s="50"/>
      <c r="FR293" s="50"/>
      <c r="FS293" s="50"/>
      <c r="FT293" s="50"/>
      <c r="FU293" s="50"/>
    </row>
    <row r="294" spans="1:177" ht="21" customHeight="1" x14ac:dyDescent="0.2">
      <c r="B294" s="457" t="s">
        <v>101</v>
      </c>
      <c r="C294" s="458"/>
      <c r="D294" s="458"/>
      <c r="E294" s="76">
        <v>6</v>
      </c>
      <c r="F294" s="122" t="s">
        <v>432</v>
      </c>
      <c r="G294" s="147"/>
      <c r="H294" s="147"/>
      <c r="I294" s="57">
        <f t="shared" ref="I294:AG294" si="392">I286+I293</f>
        <v>45759.37361118877</v>
      </c>
      <c r="J294" s="57">
        <f t="shared" si="392"/>
        <v>10251.36</v>
      </c>
      <c r="K294" s="57">
        <f t="shared" si="392"/>
        <v>1692.1477575352887</v>
      </c>
      <c r="L294" s="74">
        <f t="shared" si="392"/>
        <v>38.835295882600299</v>
      </c>
      <c r="M294" s="57">
        <f t="shared" si="392"/>
        <v>5.9200000000000008E-3</v>
      </c>
      <c r="N294" s="57">
        <f t="shared" si="392"/>
        <v>3179.8816268516866</v>
      </c>
      <c r="O294" s="57">
        <f t="shared" si="392"/>
        <v>48939.255238040452</v>
      </c>
      <c r="P294" s="57">
        <f t="shared" si="392"/>
        <v>97878.510476080904</v>
      </c>
      <c r="Q294" s="57">
        <f t="shared" si="392"/>
        <v>73408.882857060671</v>
      </c>
      <c r="R294" s="57">
        <f t="shared" si="392"/>
        <v>24469.627619020226</v>
      </c>
      <c r="S294" s="57">
        <f t="shared" si="392"/>
        <v>3262.6170158693631</v>
      </c>
      <c r="T294" s="57">
        <f t="shared" si="392"/>
        <v>3745.1580725164422</v>
      </c>
      <c r="U294" s="81">
        <f t="shared" si="392"/>
        <v>36704.441428530336</v>
      </c>
      <c r="V294" s="57">
        <f t="shared" si="392"/>
        <v>12234.813809510113</v>
      </c>
      <c r="W294" s="57">
        <f t="shared" si="392"/>
        <v>0.15000000000000002</v>
      </c>
      <c r="X294" s="57">
        <f t="shared" si="392"/>
        <v>1913.2210099353849</v>
      </c>
      <c r="Y294" s="57">
        <f t="shared" si="392"/>
        <v>6304.1720191254408</v>
      </c>
      <c r="Z294" s="57">
        <f t="shared" si="392"/>
        <v>0</v>
      </c>
      <c r="AA294" s="57">
        <f t="shared" si="392"/>
        <v>12234.813809510113</v>
      </c>
      <c r="AB294" s="57">
        <f t="shared" si="392"/>
        <v>2446.9627619020225</v>
      </c>
      <c r="AC294" s="57">
        <f t="shared" si="392"/>
        <v>15838.340788448158</v>
      </c>
      <c r="AD294" s="57">
        <f t="shared" si="392"/>
        <v>9758.5459164410677</v>
      </c>
      <c r="AE294" s="57">
        <f t="shared" si="392"/>
        <v>5804.9950124004854</v>
      </c>
      <c r="AF294" s="57">
        <f t="shared" si="392"/>
        <v>0</v>
      </c>
      <c r="AG294" s="57">
        <f t="shared" si="392"/>
        <v>3376.8086114247908</v>
      </c>
      <c r="AH294" s="92">
        <f>Q294+R294-Y294+Z294+X294+AA294+AB294+AC294+AD294+AE294+AF294+AG294</f>
        <v>142948.02636701748</v>
      </c>
      <c r="AI294" s="92">
        <f>AH294*12</f>
        <v>1715376.3164042097</v>
      </c>
      <c r="AJ294" s="457" t="s">
        <v>101</v>
      </c>
      <c r="AK294" s="458"/>
      <c r="AL294" s="458"/>
      <c r="AM294" s="76">
        <v>6</v>
      </c>
      <c r="AN294" s="122" t="s">
        <v>432</v>
      </c>
      <c r="AO294" s="148">
        <f t="shared" ref="AO294:AZ294" si="393">AO286+AO293</f>
        <v>966968.89775085566</v>
      </c>
      <c r="AP294" s="148">
        <f t="shared" si="393"/>
        <v>322322.95925028523</v>
      </c>
      <c r="AQ294" s="148">
        <f t="shared" si="393"/>
        <v>31245.652119224622</v>
      </c>
      <c r="AR294" s="148">
        <f t="shared" si="393"/>
        <v>82196.545539744227</v>
      </c>
      <c r="AS294" s="148">
        <f t="shared" si="393"/>
        <v>0</v>
      </c>
      <c r="AT294" s="148">
        <f t="shared" si="393"/>
        <v>161161.48462514259</v>
      </c>
      <c r="AU294" s="148">
        <f t="shared" si="393"/>
        <v>32232.288925028522</v>
      </c>
      <c r="AV294" s="148">
        <f t="shared" si="393"/>
        <v>208903.9525801882</v>
      </c>
      <c r="AW294" s="148">
        <f t="shared" si="393"/>
        <v>128483.42774608193</v>
      </c>
      <c r="AX294" s="148">
        <f t="shared" si="393"/>
        <v>76390.200390549828</v>
      </c>
      <c r="AY294" s="148">
        <f t="shared" si="393"/>
        <v>0</v>
      </c>
      <c r="AZ294" s="148">
        <f t="shared" si="393"/>
        <v>44480.566716539353</v>
      </c>
      <c r="BA294" s="94"/>
      <c r="BB294" s="92">
        <f>AO294+AP294+AQ294-AR294+AS294+AU294+AV294+AT294+AW294+AX294+AY294+AZ294</f>
        <v>1889992.8845641518</v>
      </c>
      <c r="BC294" s="95"/>
      <c r="BD294" s="95"/>
      <c r="BE294" s="95"/>
    </row>
    <row r="295" spans="1:177" ht="21" customHeight="1" x14ac:dyDescent="0.2">
      <c r="B295" s="457" t="s">
        <v>103</v>
      </c>
      <c r="C295" s="458"/>
      <c r="D295" s="458"/>
      <c r="E295" s="76">
        <f>E293-E294</f>
        <v>1</v>
      </c>
      <c r="F295" s="76"/>
      <c r="G295" s="487"/>
      <c r="H295" s="471"/>
      <c r="I295" s="471"/>
      <c r="J295" s="471"/>
      <c r="K295" s="471"/>
      <c r="L295" s="471"/>
      <c r="M295" s="471"/>
      <c r="N295" s="471"/>
      <c r="O295" s="471"/>
      <c r="P295" s="471"/>
      <c r="Q295" s="471"/>
      <c r="R295" s="471"/>
      <c r="S295" s="471"/>
      <c r="T295" s="471"/>
      <c r="U295" s="471"/>
      <c r="V295" s="471"/>
      <c r="W295" s="471"/>
      <c r="X295" s="471"/>
      <c r="Y295" s="471"/>
      <c r="Z295" s="471"/>
      <c r="AA295" s="471"/>
      <c r="AB295" s="471"/>
      <c r="AC295" s="471"/>
      <c r="AD295" s="471"/>
      <c r="AE295" s="471"/>
      <c r="AF295" s="471"/>
      <c r="AG295" s="472"/>
      <c r="AH295" s="92"/>
      <c r="AI295" s="92"/>
      <c r="AJ295" s="457" t="s">
        <v>103</v>
      </c>
      <c r="AK295" s="458"/>
      <c r="AL295" s="458"/>
      <c r="AM295" s="76">
        <f>AM293-AM294</f>
        <v>1</v>
      </c>
      <c r="AN295" s="76"/>
      <c r="AO295" s="481"/>
      <c r="AP295" s="482"/>
      <c r="AQ295" s="482"/>
      <c r="AR295" s="482"/>
      <c r="AS295" s="482"/>
      <c r="AT295" s="482"/>
      <c r="AU295" s="482"/>
      <c r="AV295" s="482"/>
      <c r="AW295" s="482"/>
      <c r="AX295" s="482"/>
      <c r="AY295" s="482"/>
      <c r="AZ295" s="483"/>
      <c r="BA295" s="152"/>
      <c r="BB295" s="92"/>
      <c r="BC295" s="95"/>
      <c r="BD295" s="95"/>
      <c r="BE295" s="95"/>
    </row>
    <row r="296" spans="1:177" ht="21" customHeight="1" x14ac:dyDescent="0.2">
      <c r="B296" s="5"/>
      <c r="C296" s="94"/>
      <c r="D296" s="5"/>
      <c r="E296" s="94"/>
      <c r="G296" s="27"/>
      <c r="H296" s="27"/>
      <c r="I296" s="95"/>
      <c r="J296" s="95"/>
      <c r="K296" s="95"/>
      <c r="L296" s="27"/>
      <c r="M296" s="128"/>
      <c r="N296" s="66"/>
      <c r="O296" s="95"/>
      <c r="P296" s="66"/>
      <c r="Q296" s="66"/>
      <c r="R296" s="66"/>
      <c r="S296" s="66"/>
      <c r="T296" s="95"/>
      <c r="U296" s="66"/>
      <c r="V296" s="95"/>
      <c r="W296" s="129"/>
      <c r="X296" s="130"/>
      <c r="Y296" s="66"/>
      <c r="Z296" s="66"/>
      <c r="AA296" s="66"/>
      <c r="AB296" s="66"/>
      <c r="AC296" s="66"/>
      <c r="AD296" s="66"/>
      <c r="AE296" s="66"/>
      <c r="AF296" s="66"/>
      <c r="AG296" s="66"/>
      <c r="AH296" s="64"/>
      <c r="AI296" s="64"/>
      <c r="AJ296" s="5"/>
      <c r="AK296" s="94"/>
      <c r="AL296" s="5"/>
      <c r="AM296" s="94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2"/>
      <c r="BB296" s="92"/>
      <c r="BC296" s="95"/>
      <c r="BD296" s="95"/>
      <c r="BE296" s="95"/>
    </row>
    <row r="297" spans="1:177" ht="21" customHeight="1" thickBot="1" x14ac:dyDescent="0.25">
      <c r="B297" s="5"/>
      <c r="C297" s="94"/>
      <c r="D297" s="5"/>
      <c r="E297" s="94"/>
      <c r="G297" s="27"/>
      <c r="H297" s="27"/>
      <c r="I297" s="95"/>
      <c r="J297" s="95"/>
      <c r="K297" s="95"/>
      <c r="L297" s="27"/>
      <c r="M297" s="128"/>
      <c r="N297" s="66"/>
      <c r="O297" s="95"/>
      <c r="P297" s="66"/>
      <c r="Q297" s="66"/>
      <c r="R297" s="66"/>
      <c r="S297" s="66"/>
      <c r="T297" s="95"/>
      <c r="U297" s="66"/>
      <c r="V297" s="95"/>
      <c r="W297" s="129"/>
      <c r="X297" s="130"/>
      <c r="Y297" s="66"/>
      <c r="Z297" s="66"/>
      <c r="AA297" s="66"/>
      <c r="AB297" s="66"/>
      <c r="AC297" s="66"/>
      <c r="AD297" s="66"/>
      <c r="AE297" s="66"/>
      <c r="AF297" s="66"/>
      <c r="AG297" s="66"/>
      <c r="AH297" s="64"/>
      <c r="AI297" s="64"/>
      <c r="AJ297" s="5"/>
      <c r="AK297" s="94"/>
      <c r="AL297" s="5"/>
      <c r="AM297" s="94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2"/>
      <c r="BB297" s="92"/>
      <c r="BC297" s="95"/>
      <c r="BD297" s="95"/>
      <c r="BE297" s="95"/>
    </row>
    <row r="298" spans="1:177" s="134" customFormat="1" ht="21" customHeight="1" thickBot="1" x14ac:dyDescent="0.25">
      <c r="A298" s="94"/>
      <c r="B298" s="476" t="s">
        <v>433</v>
      </c>
      <c r="C298" s="477"/>
      <c r="D298" s="477"/>
      <c r="E298" s="478"/>
      <c r="F298" s="466" t="s">
        <v>4</v>
      </c>
      <c r="G298" s="7" t="s">
        <v>5</v>
      </c>
      <c r="H298" s="8" t="s">
        <v>6</v>
      </c>
      <c r="I298" s="9" t="s">
        <v>7</v>
      </c>
      <c r="J298" s="9"/>
      <c r="K298" s="9"/>
      <c r="L298" s="9"/>
      <c r="M298" s="10">
        <v>4.0000000000000002E-4</v>
      </c>
      <c r="N298" s="11" t="s">
        <v>8</v>
      </c>
      <c r="O298" s="12" t="s">
        <v>9</v>
      </c>
      <c r="P298" s="12" t="s">
        <v>10</v>
      </c>
      <c r="Q298" s="13" t="s">
        <v>11</v>
      </c>
      <c r="R298" s="12" t="s">
        <v>12</v>
      </c>
      <c r="S298" s="14" t="s">
        <v>11</v>
      </c>
      <c r="T298" s="15" t="s">
        <v>13</v>
      </c>
      <c r="U298" s="16" t="s">
        <v>11</v>
      </c>
      <c r="V298" s="17" t="s">
        <v>12</v>
      </c>
      <c r="W298" s="18" t="s">
        <v>14</v>
      </c>
      <c r="X298" s="19" t="s">
        <v>15</v>
      </c>
      <c r="Y298" s="15" t="s">
        <v>16</v>
      </c>
      <c r="Z298" s="13" t="s">
        <v>17</v>
      </c>
      <c r="AA298" s="20" t="s">
        <v>18</v>
      </c>
      <c r="AB298" s="17" t="s">
        <v>19</v>
      </c>
      <c r="AC298" s="13" t="s">
        <v>20</v>
      </c>
      <c r="AD298" s="13" t="s">
        <v>21</v>
      </c>
      <c r="AE298" s="13" t="s">
        <v>22</v>
      </c>
      <c r="AF298" s="17" t="s">
        <v>23</v>
      </c>
      <c r="AG298" s="12" t="s">
        <v>24</v>
      </c>
      <c r="AH298" s="132"/>
      <c r="AI298" s="132"/>
      <c r="AJ298" s="476" t="s">
        <v>433</v>
      </c>
      <c r="AK298" s="477"/>
      <c r="AL298" s="477"/>
      <c r="AM298" s="478"/>
      <c r="AN298" s="466" t="s">
        <v>4</v>
      </c>
      <c r="AO298" s="133" t="s">
        <v>11</v>
      </c>
      <c r="AP298" s="12" t="s">
        <v>12</v>
      </c>
      <c r="AQ298" s="23" t="s">
        <v>15</v>
      </c>
      <c r="AR298" s="22" t="s">
        <v>16</v>
      </c>
      <c r="AS298" s="22" t="s">
        <v>25</v>
      </c>
      <c r="AT298" s="20" t="s">
        <v>26</v>
      </c>
      <c r="AU298" s="24" t="s">
        <v>27</v>
      </c>
      <c r="AV298" s="23" t="s">
        <v>20</v>
      </c>
      <c r="AW298" s="22" t="s">
        <v>28</v>
      </c>
      <c r="AX298" s="22" t="s">
        <v>29</v>
      </c>
      <c r="AY298" s="25" t="s">
        <v>23</v>
      </c>
      <c r="AZ298" s="24" t="s">
        <v>24</v>
      </c>
      <c r="BA298" s="94"/>
      <c r="BB298" s="92"/>
      <c r="BC298" s="95"/>
      <c r="BD298" s="95"/>
      <c r="BE298" s="95"/>
      <c r="BF298" s="94"/>
      <c r="BG298" s="94"/>
      <c r="BH298" s="94"/>
      <c r="BI298" s="94"/>
      <c r="BJ298" s="94"/>
      <c r="BK298" s="94"/>
      <c r="BL298" s="94"/>
      <c r="BM298" s="94"/>
      <c r="BN298" s="94"/>
      <c r="BO298" s="94"/>
      <c r="BP298" s="94"/>
      <c r="BQ298" s="94"/>
      <c r="BR298" s="94"/>
      <c r="BS298" s="94"/>
      <c r="BT298" s="94"/>
      <c r="BU298" s="94"/>
      <c r="BV298" s="94"/>
      <c r="BW298" s="94"/>
      <c r="BX298" s="94"/>
      <c r="BY298" s="94"/>
      <c r="BZ298" s="94"/>
      <c r="CA298" s="94"/>
      <c r="CB298" s="94"/>
      <c r="CC298" s="94"/>
      <c r="CD298" s="94"/>
      <c r="CE298" s="94"/>
      <c r="CF298" s="94"/>
      <c r="CG298" s="94"/>
      <c r="CH298" s="94"/>
      <c r="CI298" s="94"/>
      <c r="CJ298" s="94"/>
      <c r="CK298" s="94"/>
      <c r="CL298" s="94"/>
      <c r="CM298" s="94"/>
      <c r="CN298" s="94"/>
      <c r="CO298" s="94"/>
      <c r="CP298" s="94"/>
      <c r="CQ298" s="94"/>
      <c r="CR298" s="94"/>
      <c r="CS298" s="94"/>
      <c r="CT298" s="94"/>
      <c r="CU298" s="94"/>
      <c r="CV298" s="94"/>
      <c r="CW298" s="94"/>
      <c r="CX298" s="94"/>
      <c r="CY298" s="94"/>
      <c r="CZ298" s="94"/>
      <c r="DA298" s="94"/>
      <c r="DB298" s="94"/>
      <c r="DC298" s="94"/>
      <c r="DD298" s="94"/>
      <c r="DE298" s="94"/>
      <c r="DF298" s="94"/>
      <c r="DG298" s="94"/>
      <c r="DH298" s="94"/>
      <c r="DI298" s="94"/>
      <c r="DJ298" s="94"/>
      <c r="DK298" s="94"/>
      <c r="DL298" s="94"/>
      <c r="DM298" s="94"/>
      <c r="DN298" s="94"/>
      <c r="DO298" s="94"/>
      <c r="DP298" s="94"/>
      <c r="DQ298" s="94"/>
      <c r="DR298" s="94"/>
      <c r="DS298" s="94"/>
      <c r="DT298" s="94"/>
      <c r="DU298" s="94"/>
      <c r="DV298" s="94"/>
      <c r="DW298" s="94"/>
      <c r="DX298" s="94"/>
      <c r="DY298" s="94"/>
      <c r="DZ298" s="94"/>
      <c r="EA298" s="94"/>
      <c r="EB298" s="94"/>
      <c r="EC298" s="94"/>
      <c r="ED298" s="94"/>
      <c r="EE298" s="94"/>
      <c r="EF298" s="94"/>
      <c r="EG298" s="94"/>
      <c r="EH298" s="94"/>
      <c r="EI298" s="94"/>
      <c r="EJ298" s="94"/>
      <c r="EK298" s="94"/>
      <c r="EL298" s="94"/>
      <c r="EM298" s="94"/>
      <c r="EN298" s="94"/>
      <c r="EO298" s="94"/>
      <c r="EP298" s="94"/>
      <c r="EQ298" s="94"/>
      <c r="ER298" s="94"/>
      <c r="ES298" s="94"/>
      <c r="ET298" s="94"/>
      <c r="EU298" s="94"/>
      <c r="EV298" s="94"/>
      <c r="EW298" s="94"/>
      <c r="EX298" s="94"/>
      <c r="EY298" s="94"/>
      <c r="EZ298" s="94"/>
      <c r="FA298" s="94"/>
      <c r="FB298" s="94"/>
      <c r="FC298" s="94"/>
      <c r="FD298" s="94"/>
      <c r="FE298" s="94"/>
      <c r="FF298" s="94"/>
      <c r="FG298" s="94"/>
      <c r="FH298" s="94"/>
      <c r="FI298" s="94"/>
      <c r="FJ298" s="94"/>
      <c r="FK298" s="94"/>
      <c r="FL298" s="94"/>
      <c r="FM298" s="94"/>
      <c r="FN298" s="94"/>
      <c r="FO298" s="94"/>
      <c r="FP298" s="94"/>
      <c r="FQ298" s="94"/>
      <c r="FR298" s="94"/>
      <c r="FS298" s="94"/>
      <c r="FT298" s="94"/>
      <c r="FU298" s="94"/>
    </row>
    <row r="299" spans="1:177" s="134" customFormat="1" ht="21" customHeight="1" thickBot="1" x14ac:dyDescent="0.25">
      <c r="A299" s="94"/>
      <c r="B299" s="30" t="s">
        <v>30</v>
      </c>
      <c r="C299" s="6" t="s">
        <v>31</v>
      </c>
      <c r="D299" s="30" t="s">
        <v>105</v>
      </c>
      <c r="E299" s="32" t="s">
        <v>32</v>
      </c>
      <c r="F299" s="467"/>
      <c r="G299" s="33" t="s">
        <v>33</v>
      </c>
      <c r="H299" s="34">
        <v>45657</v>
      </c>
      <c r="I299" s="35">
        <v>2023</v>
      </c>
      <c r="J299" s="35"/>
      <c r="K299" s="35"/>
      <c r="L299" s="35"/>
      <c r="M299" s="36"/>
      <c r="N299" s="37"/>
      <c r="O299" s="38">
        <v>2024</v>
      </c>
      <c r="P299" s="39" t="s">
        <v>34</v>
      </c>
      <c r="Q299" s="40" t="s">
        <v>35</v>
      </c>
      <c r="R299" s="39" t="s">
        <v>36</v>
      </c>
      <c r="S299" s="41" t="s">
        <v>37</v>
      </c>
      <c r="T299" s="42" t="s">
        <v>38</v>
      </c>
      <c r="U299" s="43" t="s">
        <v>39</v>
      </c>
      <c r="V299" s="41" t="s">
        <v>39</v>
      </c>
      <c r="W299" s="44" t="s">
        <v>15</v>
      </c>
      <c r="X299" s="45" t="s">
        <v>35</v>
      </c>
      <c r="Y299" s="42" t="s">
        <v>35</v>
      </c>
      <c r="Z299" s="40" t="s">
        <v>35</v>
      </c>
      <c r="AA299" s="46" t="s">
        <v>35</v>
      </c>
      <c r="AB299" s="41" t="s">
        <v>35</v>
      </c>
      <c r="AC299" s="40" t="s">
        <v>35</v>
      </c>
      <c r="AD299" s="40" t="s">
        <v>35</v>
      </c>
      <c r="AE299" s="40" t="s">
        <v>35</v>
      </c>
      <c r="AF299" s="41" t="s">
        <v>35</v>
      </c>
      <c r="AG299" s="40" t="s">
        <v>35</v>
      </c>
      <c r="AH299" s="135"/>
      <c r="AI299" s="135"/>
      <c r="AJ299" s="30" t="s">
        <v>30</v>
      </c>
      <c r="AK299" s="6" t="s">
        <v>31</v>
      </c>
      <c r="AL299" s="30" t="s">
        <v>105</v>
      </c>
      <c r="AM299" s="32" t="s">
        <v>32</v>
      </c>
      <c r="AN299" s="467"/>
      <c r="AO299" s="46" t="s">
        <v>40</v>
      </c>
      <c r="AP299" s="39" t="s">
        <v>41</v>
      </c>
      <c r="AQ299" s="48" t="s">
        <v>40</v>
      </c>
      <c r="AR299" s="49" t="s">
        <v>40</v>
      </c>
      <c r="AS299" s="49" t="s">
        <v>40</v>
      </c>
      <c r="AT299" s="46" t="s">
        <v>40</v>
      </c>
      <c r="AU299" s="49" t="s">
        <v>40</v>
      </c>
      <c r="AV299" s="48" t="s">
        <v>40</v>
      </c>
      <c r="AW299" s="49" t="s">
        <v>40</v>
      </c>
      <c r="AX299" s="49" t="s">
        <v>40</v>
      </c>
      <c r="AY299" s="48" t="s">
        <v>40</v>
      </c>
      <c r="AZ299" s="49" t="s">
        <v>40</v>
      </c>
      <c r="BA299" s="94"/>
      <c r="BB299" s="92"/>
      <c r="BC299" s="95"/>
      <c r="BD299" s="95"/>
      <c r="BE299" s="95"/>
      <c r="BF299" s="94"/>
      <c r="BG299" s="94"/>
      <c r="BH299" s="94"/>
      <c r="BI299" s="94"/>
      <c r="BJ299" s="94"/>
      <c r="BK299" s="94"/>
      <c r="BL299" s="94"/>
      <c r="BM299" s="94"/>
      <c r="BN299" s="94"/>
      <c r="BO299" s="94"/>
      <c r="BP299" s="94"/>
      <c r="BQ299" s="94"/>
      <c r="BR299" s="94"/>
      <c r="BS299" s="94"/>
      <c r="BT299" s="94"/>
      <c r="BU299" s="94"/>
      <c r="BV299" s="94"/>
      <c r="BW299" s="94"/>
      <c r="BX299" s="94"/>
      <c r="BY299" s="94"/>
      <c r="BZ299" s="94"/>
      <c r="CA299" s="94"/>
      <c r="CB299" s="94"/>
      <c r="CC299" s="94"/>
      <c r="CD299" s="94"/>
      <c r="CE299" s="94"/>
      <c r="CF299" s="94"/>
      <c r="CG299" s="94"/>
      <c r="CH299" s="94"/>
      <c r="CI299" s="94"/>
      <c r="CJ299" s="94"/>
      <c r="CK299" s="94"/>
      <c r="CL299" s="94"/>
      <c r="CM299" s="94"/>
      <c r="CN299" s="94"/>
      <c r="CO299" s="94"/>
      <c r="CP299" s="94"/>
      <c r="CQ299" s="94"/>
      <c r="CR299" s="94"/>
      <c r="CS299" s="94"/>
      <c r="CT299" s="94"/>
      <c r="CU299" s="94"/>
      <c r="CV299" s="94"/>
      <c r="CW299" s="94"/>
      <c r="CX299" s="94"/>
      <c r="CY299" s="94"/>
      <c r="CZ299" s="94"/>
      <c r="DA299" s="94"/>
      <c r="DB299" s="94"/>
      <c r="DC299" s="94"/>
      <c r="DD299" s="94"/>
      <c r="DE299" s="94"/>
      <c r="DF299" s="94"/>
      <c r="DG299" s="94"/>
      <c r="DH299" s="94"/>
      <c r="DI299" s="94"/>
      <c r="DJ299" s="94"/>
      <c r="DK299" s="94"/>
      <c r="DL299" s="94"/>
      <c r="DM299" s="94"/>
      <c r="DN299" s="94"/>
      <c r="DO299" s="94"/>
      <c r="DP299" s="94"/>
      <c r="DQ299" s="94"/>
      <c r="DR299" s="94"/>
      <c r="DS299" s="94"/>
      <c r="DT299" s="94"/>
      <c r="DU299" s="94"/>
      <c r="DV299" s="94"/>
      <c r="DW299" s="94"/>
      <c r="DX299" s="94"/>
      <c r="DY299" s="94"/>
      <c r="DZ299" s="94"/>
      <c r="EA299" s="94"/>
      <c r="EB299" s="94"/>
      <c r="EC299" s="94"/>
      <c r="ED299" s="94"/>
      <c r="EE299" s="94"/>
      <c r="EF299" s="94"/>
      <c r="EG299" s="94"/>
      <c r="EH299" s="94"/>
      <c r="EI299" s="94"/>
      <c r="EJ299" s="94"/>
      <c r="EK299" s="94"/>
      <c r="EL299" s="94"/>
      <c r="EM299" s="94"/>
      <c r="EN299" s="94"/>
      <c r="EO299" s="94"/>
      <c r="EP299" s="94"/>
      <c r="EQ299" s="94"/>
      <c r="ER299" s="94"/>
      <c r="ES299" s="94"/>
      <c r="ET299" s="94"/>
      <c r="EU299" s="94"/>
      <c r="EV299" s="94"/>
      <c r="EW299" s="94"/>
      <c r="EX299" s="94"/>
      <c r="EY299" s="94"/>
      <c r="EZ299" s="94"/>
      <c r="FA299" s="94"/>
      <c r="FB299" s="94"/>
      <c r="FC299" s="94"/>
      <c r="FD299" s="94"/>
      <c r="FE299" s="94"/>
      <c r="FF299" s="94"/>
      <c r="FG299" s="94"/>
      <c r="FH299" s="94"/>
      <c r="FI299" s="94"/>
      <c r="FJ299" s="94"/>
      <c r="FK299" s="94"/>
      <c r="FL299" s="94"/>
      <c r="FM299" s="94"/>
      <c r="FN299" s="94"/>
      <c r="FO299" s="94"/>
      <c r="FP299" s="94"/>
      <c r="FQ299" s="94"/>
      <c r="FR299" s="94"/>
      <c r="FS299" s="94"/>
      <c r="FT299" s="94"/>
      <c r="FU299" s="94"/>
    </row>
    <row r="300" spans="1:177" s="364" customFormat="1" ht="21" customHeight="1" x14ac:dyDescent="0.2">
      <c r="B300" s="369">
        <v>1</v>
      </c>
      <c r="C300" s="376" t="s">
        <v>42</v>
      </c>
      <c r="D300" s="369"/>
      <c r="E300" s="414" t="s">
        <v>55</v>
      </c>
      <c r="F300" s="372" t="s">
        <v>435</v>
      </c>
      <c r="G300" s="365"/>
      <c r="H300" s="56"/>
      <c r="I300" s="58">
        <v>12791.962101726789</v>
      </c>
      <c r="J300" s="58"/>
      <c r="K300" s="58"/>
      <c r="L300" s="59"/>
      <c r="M300" s="60">
        <v>4.0000000000000002E-4</v>
      </c>
      <c r="N300" s="61">
        <f>I300*0.04</f>
        <v>511.6784840690716</v>
      </c>
      <c r="O300" s="58">
        <f>I300+N300</f>
        <v>13303.64058579586</v>
      </c>
      <c r="P300" s="81">
        <f>O300*2</f>
        <v>26607.28117159172</v>
      </c>
      <c r="Q300" s="81">
        <f>P300*0.75</f>
        <v>19955.46087869379</v>
      </c>
      <c r="R300" s="81">
        <f>P300*0.25</f>
        <v>6651.8202928979299</v>
      </c>
      <c r="S300" s="81">
        <f>(P300/30)</f>
        <v>886.9093723863906</v>
      </c>
      <c r="T300" s="58">
        <f>S300*1.1479</f>
        <v>1018.0832685623377</v>
      </c>
      <c r="U300" s="81">
        <f>O300*0.75</f>
        <v>9977.7304393468949</v>
      </c>
      <c r="V300" s="57">
        <f>O300*0.25</f>
        <v>3325.910146448965</v>
      </c>
      <c r="W300" s="101">
        <v>0</v>
      </c>
      <c r="X300" s="158">
        <f>P300*W300</f>
        <v>0</v>
      </c>
      <c r="Y300" s="81">
        <v>2616.3624916889935</v>
      </c>
      <c r="Z300" s="81">
        <v>0</v>
      </c>
      <c r="AA300" s="81">
        <f>(S300*45)/12</f>
        <v>3325.910146448965</v>
      </c>
      <c r="AB300" s="81">
        <f>(S300*10)*(0.45*2)/12</f>
        <v>665.18202928979292</v>
      </c>
      <c r="AC300" s="81">
        <v>3809.4386342060325</v>
      </c>
      <c r="AD300" s="81">
        <v>2668.4471510653152</v>
      </c>
      <c r="AE300" s="81">
        <v>1578.0290662716234</v>
      </c>
      <c r="AF300" s="61">
        <v>0</v>
      </c>
      <c r="AG300" s="81">
        <f>(P300+AA300+AB300)*0.03</f>
        <v>917.95120041991436</v>
      </c>
      <c r="AH300" s="64"/>
      <c r="AI300" s="64"/>
      <c r="AJ300" s="369">
        <v>1</v>
      </c>
      <c r="AK300" s="376" t="s">
        <v>42</v>
      </c>
      <c r="AL300" s="369" t="s">
        <v>434</v>
      </c>
      <c r="AM300" s="414" t="s">
        <v>55</v>
      </c>
      <c r="AN300" s="372" t="s">
        <v>435</v>
      </c>
      <c r="AO300" s="368">
        <f t="shared" ref="AO300:AP300" si="394">Q300*3</f>
        <v>59866.382636081369</v>
      </c>
      <c r="AP300" s="368">
        <f t="shared" si="394"/>
        <v>19955.46087869379</v>
      </c>
      <c r="AQ300" s="368">
        <f t="shared" ref="AQ300:AZ300" si="395">X300*3</f>
        <v>0</v>
      </c>
      <c r="AR300" s="368">
        <f t="shared" si="395"/>
        <v>7849.0874750669809</v>
      </c>
      <c r="AS300" s="368">
        <f t="shared" si="395"/>
        <v>0</v>
      </c>
      <c r="AT300" s="368">
        <f t="shared" si="395"/>
        <v>9977.7304393468949</v>
      </c>
      <c r="AU300" s="368">
        <f t="shared" si="395"/>
        <v>1995.5460878693789</v>
      </c>
      <c r="AV300" s="368">
        <f t="shared" si="395"/>
        <v>11428.315902618098</v>
      </c>
      <c r="AW300" s="368">
        <f t="shared" si="395"/>
        <v>8005.3414531959461</v>
      </c>
      <c r="AX300" s="368">
        <f t="shared" si="395"/>
        <v>4734.0871988148701</v>
      </c>
      <c r="AY300" s="368">
        <f t="shared" si="395"/>
        <v>0</v>
      </c>
      <c r="AZ300" s="368">
        <f t="shared" si="395"/>
        <v>2753.8536012597433</v>
      </c>
      <c r="BB300" s="64"/>
      <c r="BC300" s="66"/>
      <c r="BD300" s="66"/>
      <c r="BE300" s="66"/>
    </row>
    <row r="301" spans="1:177" s="102" customFormat="1" ht="21" customHeight="1" x14ac:dyDescent="0.2">
      <c r="A301" s="50"/>
      <c r="B301" s="214">
        <v>2</v>
      </c>
      <c r="C301" s="215" t="s">
        <v>42</v>
      </c>
      <c r="D301" s="216">
        <v>25007</v>
      </c>
      <c r="E301" s="72" t="s">
        <v>436</v>
      </c>
      <c r="F301" s="72" t="s">
        <v>437</v>
      </c>
      <c r="G301" s="218">
        <v>42370</v>
      </c>
      <c r="H301" s="56" t="str">
        <f xml:space="preserve"> CONCATENATE(DATEDIF(G301,H$5,"Y")," AÑOS")</f>
        <v>8 AÑOS</v>
      </c>
      <c r="I301" s="57">
        <v>5678.4</v>
      </c>
      <c r="J301" s="219"/>
      <c r="K301" s="219"/>
      <c r="L301" s="220"/>
      <c r="M301" s="60">
        <v>4.0000000000000002E-4</v>
      </c>
      <c r="N301" s="61">
        <f>I301*0.04</f>
        <v>227.136</v>
      </c>
      <c r="O301" s="58">
        <f>I301+N301</f>
        <v>5905.5360000000001</v>
      </c>
      <c r="P301" s="58">
        <f>O301*2</f>
        <v>11811.072</v>
      </c>
      <c r="Q301" s="61">
        <f>P301*0.75</f>
        <v>8858.3040000000001</v>
      </c>
      <c r="R301" s="61">
        <f>P301*0.25</f>
        <v>2952.768</v>
      </c>
      <c r="S301" s="61">
        <f>(P301/30)</f>
        <v>393.70240000000001</v>
      </c>
      <c r="T301" s="58">
        <f>S301*1.1479</f>
        <v>451.93098495999999</v>
      </c>
      <c r="U301" s="61">
        <f>O301*0.75</f>
        <v>4429.152</v>
      </c>
      <c r="V301" s="58">
        <f>O301*0.25</f>
        <v>1476.384</v>
      </c>
      <c r="W301" s="62">
        <v>0</v>
      </c>
      <c r="X301" s="63">
        <f>P301*W301</f>
        <v>0</v>
      </c>
      <c r="Y301" s="61">
        <v>650.82273919999989</v>
      </c>
      <c r="Z301" s="61">
        <v>0</v>
      </c>
      <c r="AA301" s="61">
        <f>(S301*45)/12</f>
        <v>1476.384</v>
      </c>
      <c r="AB301" s="61">
        <f>(S301*10)*(0.45*2)/12</f>
        <v>295.27680000000004</v>
      </c>
      <c r="AC301" s="61">
        <v>1995.9875924694459</v>
      </c>
      <c r="AD301" s="61">
        <v>1184.5337081294081</v>
      </c>
      <c r="AE301" s="61">
        <v>700.4930266880001</v>
      </c>
      <c r="AF301" s="221"/>
      <c r="AG301" s="61">
        <f>(Q301+AB301+AC301)*0.03</f>
        <v>334.48705177408334</v>
      </c>
      <c r="AH301" s="135"/>
      <c r="AI301" s="135"/>
      <c r="AJ301" s="214">
        <v>2</v>
      </c>
      <c r="AK301" s="215" t="s">
        <v>42</v>
      </c>
      <c r="AL301" s="216">
        <v>25007</v>
      </c>
      <c r="AM301" s="72" t="s">
        <v>436</v>
      </c>
      <c r="AN301" s="72" t="s">
        <v>437</v>
      </c>
      <c r="AO301" s="65">
        <f t="shared" ref="AO301:AP303" si="396">Q301*12</f>
        <v>106299.648</v>
      </c>
      <c r="AP301" s="65">
        <f t="shared" si="396"/>
        <v>35433.216</v>
      </c>
      <c r="AQ301" s="65">
        <f t="shared" ref="AQ301:AZ303" si="397">X301*12</f>
        <v>0</v>
      </c>
      <c r="AR301" s="65">
        <f t="shared" si="397"/>
        <v>7809.8728703999986</v>
      </c>
      <c r="AS301" s="65">
        <f t="shared" si="397"/>
        <v>0</v>
      </c>
      <c r="AT301" s="65">
        <f t="shared" si="397"/>
        <v>17716.608</v>
      </c>
      <c r="AU301" s="65">
        <f t="shared" si="397"/>
        <v>3543.3216000000002</v>
      </c>
      <c r="AV301" s="65">
        <f t="shared" si="397"/>
        <v>23951.85110963335</v>
      </c>
      <c r="AW301" s="65">
        <f t="shared" si="397"/>
        <v>14214.404497552896</v>
      </c>
      <c r="AX301" s="65">
        <f t="shared" si="397"/>
        <v>8405.9163202560012</v>
      </c>
      <c r="AY301" s="65">
        <f t="shared" si="397"/>
        <v>0</v>
      </c>
      <c r="AZ301" s="65">
        <f t="shared" si="397"/>
        <v>4013.8446212890003</v>
      </c>
      <c r="BA301" s="94"/>
      <c r="BB301" s="92"/>
      <c r="BC301" s="95"/>
      <c r="BD301" s="95"/>
      <c r="BE301" s="95"/>
      <c r="BF301" s="50"/>
      <c r="BG301" s="50"/>
      <c r="BH301" s="50"/>
      <c r="BI301" s="50"/>
      <c r="BJ301" s="50"/>
      <c r="BK301" s="50"/>
      <c r="BL301" s="50"/>
      <c r="BM301" s="50"/>
      <c r="BN301" s="50"/>
      <c r="BO301" s="50"/>
      <c r="BP301" s="50"/>
      <c r="BQ301" s="50"/>
      <c r="BR301" s="50"/>
      <c r="BS301" s="50"/>
      <c r="BT301" s="50"/>
      <c r="BU301" s="50"/>
      <c r="BV301" s="50"/>
      <c r="BW301" s="50"/>
      <c r="BX301" s="50"/>
      <c r="BY301" s="50"/>
      <c r="BZ301" s="50"/>
      <c r="CA301" s="50"/>
      <c r="CB301" s="50"/>
      <c r="CC301" s="50"/>
      <c r="CD301" s="50"/>
      <c r="CE301" s="50"/>
      <c r="CF301" s="50"/>
      <c r="CG301" s="50"/>
      <c r="CH301" s="50"/>
      <c r="CI301" s="50"/>
      <c r="CJ301" s="50"/>
      <c r="CK301" s="50"/>
      <c r="CL301" s="50"/>
      <c r="CM301" s="50"/>
      <c r="CN301" s="50"/>
      <c r="CO301" s="50"/>
      <c r="CP301" s="50"/>
      <c r="CQ301" s="50"/>
      <c r="CR301" s="50"/>
      <c r="CS301" s="50"/>
      <c r="CT301" s="50"/>
      <c r="CU301" s="50"/>
      <c r="CV301" s="50"/>
      <c r="CW301" s="50"/>
      <c r="CX301" s="50"/>
      <c r="CY301" s="50"/>
      <c r="CZ301" s="50"/>
      <c r="DA301" s="50"/>
      <c r="DB301" s="50"/>
      <c r="DC301" s="50"/>
      <c r="DD301" s="50"/>
      <c r="DE301" s="50"/>
      <c r="DF301" s="50"/>
      <c r="DG301" s="50"/>
      <c r="DH301" s="50"/>
      <c r="DI301" s="50"/>
      <c r="DJ301" s="50"/>
      <c r="DK301" s="50"/>
      <c r="DL301" s="50"/>
      <c r="DM301" s="50"/>
      <c r="DN301" s="50"/>
      <c r="DO301" s="50"/>
      <c r="DP301" s="50"/>
      <c r="DQ301" s="50"/>
      <c r="DR301" s="50"/>
      <c r="DS301" s="50"/>
      <c r="DT301" s="50"/>
      <c r="DU301" s="50"/>
      <c r="DV301" s="50"/>
      <c r="DW301" s="50"/>
      <c r="DX301" s="50"/>
      <c r="DY301" s="50"/>
      <c r="DZ301" s="50"/>
      <c r="EA301" s="50"/>
      <c r="EB301" s="50"/>
      <c r="EC301" s="50"/>
      <c r="ED301" s="50"/>
      <c r="EE301" s="50"/>
      <c r="EF301" s="50"/>
      <c r="EG301" s="50"/>
      <c r="EH301" s="50"/>
      <c r="EI301" s="50"/>
      <c r="EJ301" s="50"/>
      <c r="EK301" s="50"/>
      <c r="EL301" s="50"/>
      <c r="EM301" s="50"/>
      <c r="EN301" s="50"/>
      <c r="EO301" s="50"/>
      <c r="EP301" s="50"/>
      <c r="EQ301" s="50"/>
      <c r="ER301" s="50"/>
      <c r="ES301" s="50"/>
      <c r="ET301" s="50"/>
      <c r="EU301" s="50"/>
      <c r="EV301" s="50"/>
      <c r="EW301" s="50"/>
      <c r="EX301" s="50"/>
      <c r="EY301" s="50"/>
      <c r="EZ301" s="50"/>
      <c r="FA301" s="50"/>
      <c r="FB301" s="50"/>
      <c r="FC301" s="50"/>
      <c r="FD301" s="50"/>
      <c r="FE301" s="50"/>
      <c r="FF301" s="50"/>
      <c r="FG301" s="50"/>
      <c r="FH301" s="50"/>
      <c r="FI301" s="50"/>
      <c r="FJ301" s="50"/>
      <c r="FK301" s="50"/>
      <c r="FL301" s="50"/>
      <c r="FM301" s="50"/>
      <c r="FN301" s="50"/>
      <c r="FO301" s="50"/>
      <c r="FP301" s="50"/>
      <c r="FQ301" s="50"/>
      <c r="FR301" s="50"/>
      <c r="FS301" s="50"/>
      <c r="FT301" s="50"/>
      <c r="FU301" s="50"/>
    </row>
    <row r="302" spans="1:177" ht="21" customHeight="1" x14ac:dyDescent="0.2">
      <c r="B302" s="216">
        <v>3</v>
      </c>
      <c r="C302" s="222" t="s">
        <v>42</v>
      </c>
      <c r="D302" s="216">
        <v>25008</v>
      </c>
      <c r="E302" s="72" t="s">
        <v>438</v>
      </c>
      <c r="F302" s="72" t="s">
        <v>437</v>
      </c>
      <c r="G302" s="218">
        <v>42370</v>
      </c>
      <c r="H302" s="56" t="str">
        <f xml:space="preserve"> CONCATENATE(DATEDIF(G302,H$5,"Y")," AÑOS")</f>
        <v>8 AÑOS</v>
      </c>
      <c r="I302" s="57">
        <v>5678.4</v>
      </c>
      <c r="J302" s="219"/>
      <c r="K302" s="219"/>
      <c r="L302" s="220"/>
      <c r="M302" s="60">
        <v>4.0000000000000002E-4</v>
      </c>
      <c r="N302" s="61">
        <f>I302*0.04</f>
        <v>227.136</v>
      </c>
      <c r="O302" s="58">
        <f>I302+N302</f>
        <v>5905.5360000000001</v>
      </c>
      <c r="P302" s="57">
        <f>O302*2</f>
        <v>11811.072</v>
      </c>
      <c r="Q302" s="81">
        <f>P302*0.75</f>
        <v>8858.3040000000001</v>
      </c>
      <c r="R302" s="81">
        <f>P302*0.25</f>
        <v>2952.768</v>
      </c>
      <c r="S302" s="81">
        <f>(P302/30)</f>
        <v>393.70240000000001</v>
      </c>
      <c r="T302" s="58">
        <f>S302*1.1479</f>
        <v>451.93098495999999</v>
      </c>
      <c r="U302" s="81">
        <f>O302*0.75</f>
        <v>4429.152</v>
      </c>
      <c r="V302" s="57">
        <f>O302*0.25</f>
        <v>1476.384</v>
      </c>
      <c r="W302" s="101">
        <v>0</v>
      </c>
      <c r="X302" s="158">
        <f>P302*W302</f>
        <v>0</v>
      </c>
      <c r="Y302" s="81">
        <v>650.82273919999989</v>
      </c>
      <c r="Z302" s="81">
        <v>0</v>
      </c>
      <c r="AA302" s="81">
        <f>(S302*45)/12</f>
        <v>1476.384</v>
      </c>
      <c r="AB302" s="81">
        <f>(S302*10)*(0.45*2)/12</f>
        <v>295.27680000000004</v>
      </c>
      <c r="AC302" s="81">
        <v>1995.9875924694459</v>
      </c>
      <c r="AD302" s="81">
        <v>1184.5337081294081</v>
      </c>
      <c r="AE302" s="81">
        <v>700.4930266880001</v>
      </c>
      <c r="AF302" s="223"/>
      <c r="AG302" s="81">
        <f>(Q302+AB302+AC302)*0.03</f>
        <v>334.48705177408334</v>
      </c>
      <c r="AH302" s="135"/>
      <c r="AI302" s="135"/>
      <c r="AJ302" s="216">
        <v>3</v>
      </c>
      <c r="AK302" s="222" t="s">
        <v>42</v>
      </c>
      <c r="AL302" s="216">
        <v>25008</v>
      </c>
      <c r="AM302" s="72" t="s">
        <v>438</v>
      </c>
      <c r="AN302" s="72" t="s">
        <v>437</v>
      </c>
      <c r="AO302" s="138">
        <f t="shared" si="396"/>
        <v>106299.648</v>
      </c>
      <c r="AP302" s="65">
        <f t="shared" si="396"/>
        <v>35433.216</v>
      </c>
      <c r="AQ302" s="65">
        <f t="shared" si="397"/>
        <v>0</v>
      </c>
      <c r="AR302" s="65">
        <f t="shared" si="397"/>
        <v>7809.8728703999986</v>
      </c>
      <c r="AS302" s="65">
        <f t="shared" si="397"/>
        <v>0</v>
      </c>
      <c r="AT302" s="65">
        <f t="shared" si="397"/>
        <v>17716.608</v>
      </c>
      <c r="AU302" s="65">
        <f t="shared" si="397"/>
        <v>3543.3216000000002</v>
      </c>
      <c r="AV302" s="65">
        <f t="shared" si="397"/>
        <v>23951.85110963335</v>
      </c>
      <c r="AW302" s="65">
        <f t="shared" si="397"/>
        <v>14214.404497552896</v>
      </c>
      <c r="AX302" s="65">
        <f t="shared" si="397"/>
        <v>8405.9163202560012</v>
      </c>
      <c r="AY302" s="65">
        <f t="shared" si="397"/>
        <v>0</v>
      </c>
      <c r="AZ302" s="65">
        <f t="shared" si="397"/>
        <v>4013.8446212890003</v>
      </c>
      <c r="BA302" s="94"/>
      <c r="BB302" s="92"/>
      <c r="BC302" s="95"/>
      <c r="BD302" s="95"/>
      <c r="BE302" s="95"/>
    </row>
    <row r="303" spans="1:177" ht="21" customHeight="1" x14ac:dyDescent="0.2">
      <c r="B303" s="216">
        <v>4</v>
      </c>
      <c r="C303" s="222" t="s">
        <v>42</v>
      </c>
      <c r="D303" s="216">
        <v>25009</v>
      </c>
      <c r="E303" s="72" t="s">
        <v>439</v>
      </c>
      <c r="F303" s="72" t="s">
        <v>437</v>
      </c>
      <c r="G303" s="218">
        <v>42370</v>
      </c>
      <c r="H303" s="56" t="str">
        <f xml:space="preserve"> CONCATENATE(DATEDIF(G303,H$5,"Y")," AÑOS")</f>
        <v>8 AÑOS</v>
      </c>
      <c r="I303" s="57">
        <v>5678.4</v>
      </c>
      <c r="J303" s="219"/>
      <c r="K303" s="219"/>
      <c r="L303" s="220"/>
      <c r="M303" s="60">
        <v>4.0000000000000002E-4</v>
      </c>
      <c r="N303" s="61">
        <f>I303*0.04</f>
        <v>227.136</v>
      </c>
      <c r="O303" s="58">
        <f>I303+N303</f>
        <v>5905.5360000000001</v>
      </c>
      <c r="P303" s="57">
        <f>O303*2</f>
        <v>11811.072</v>
      </c>
      <c r="Q303" s="81">
        <f>P303*0.75</f>
        <v>8858.3040000000001</v>
      </c>
      <c r="R303" s="81">
        <f>P303*0.25</f>
        <v>2952.768</v>
      </c>
      <c r="S303" s="81">
        <f>(P303/30)</f>
        <v>393.70240000000001</v>
      </c>
      <c r="T303" s="58">
        <f>S303*1.1479</f>
        <v>451.93098495999999</v>
      </c>
      <c r="U303" s="81">
        <f>O303*0.75</f>
        <v>4429.152</v>
      </c>
      <c r="V303" s="57">
        <f>O303*0.25</f>
        <v>1476.384</v>
      </c>
      <c r="W303" s="101">
        <v>0</v>
      </c>
      <c r="X303" s="158">
        <f>P303*W303</f>
        <v>0</v>
      </c>
      <c r="Y303" s="81">
        <v>650.82273919999989</v>
      </c>
      <c r="Z303" s="81">
        <v>0</v>
      </c>
      <c r="AA303" s="81">
        <f>(S303*45)/12</f>
        <v>1476.384</v>
      </c>
      <c r="AB303" s="81">
        <f>(S303*10)*(0.45*2)/12</f>
        <v>295.27680000000004</v>
      </c>
      <c r="AC303" s="81">
        <v>1995.9875924694459</v>
      </c>
      <c r="AD303" s="81">
        <v>1184.5337081294081</v>
      </c>
      <c r="AE303" s="81">
        <v>700.4930266880001</v>
      </c>
      <c r="AF303" s="223"/>
      <c r="AG303" s="81">
        <f>(Q303+AB303+AC303)*0.03</f>
        <v>334.48705177408334</v>
      </c>
      <c r="AH303" s="135"/>
      <c r="AI303" s="135"/>
      <c r="AJ303" s="216">
        <v>4</v>
      </c>
      <c r="AK303" s="222" t="s">
        <v>42</v>
      </c>
      <c r="AL303" s="216">
        <v>25009</v>
      </c>
      <c r="AM303" s="72" t="s">
        <v>439</v>
      </c>
      <c r="AN303" s="72" t="s">
        <v>437</v>
      </c>
      <c r="AO303" s="138">
        <f t="shared" si="396"/>
        <v>106299.648</v>
      </c>
      <c r="AP303" s="65">
        <f t="shared" si="396"/>
        <v>35433.216</v>
      </c>
      <c r="AQ303" s="65">
        <f t="shared" si="397"/>
        <v>0</v>
      </c>
      <c r="AR303" s="65">
        <f t="shared" si="397"/>
        <v>7809.8728703999986</v>
      </c>
      <c r="AS303" s="65">
        <f t="shared" si="397"/>
        <v>0</v>
      </c>
      <c r="AT303" s="65">
        <f t="shared" si="397"/>
        <v>17716.608</v>
      </c>
      <c r="AU303" s="65">
        <f t="shared" si="397"/>
        <v>3543.3216000000002</v>
      </c>
      <c r="AV303" s="65">
        <f t="shared" si="397"/>
        <v>23951.85110963335</v>
      </c>
      <c r="AW303" s="65">
        <f t="shared" si="397"/>
        <v>14214.404497552896</v>
      </c>
      <c r="AX303" s="65">
        <f t="shared" si="397"/>
        <v>8405.9163202560012</v>
      </c>
      <c r="AY303" s="65">
        <f t="shared" si="397"/>
        <v>0</v>
      </c>
      <c r="AZ303" s="65">
        <f t="shared" si="397"/>
        <v>4013.8446212890003</v>
      </c>
      <c r="BA303" s="94"/>
      <c r="BB303" s="92"/>
      <c r="BC303" s="95"/>
      <c r="BD303" s="95"/>
      <c r="BE303" s="95"/>
    </row>
    <row r="304" spans="1:177" s="228" customFormat="1" ht="21" customHeight="1" x14ac:dyDescent="0.2">
      <c r="A304" s="181"/>
      <c r="B304" s="488" t="s">
        <v>65</v>
      </c>
      <c r="C304" s="489"/>
      <c r="D304" s="489"/>
      <c r="E304" s="489"/>
      <c r="F304" s="490"/>
      <c r="G304" s="224"/>
      <c r="H304" s="225"/>
      <c r="I304" s="91">
        <f t="shared" ref="I304:O304" si="398">SUM(I301:I303)</f>
        <v>17035.199999999997</v>
      </c>
      <c r="J304" s="91">
        <f t="shared" si="398"/>
        <v>0</v>
      </c>
      <c r="K304" s="91">
        <f t="shared" si="398"/>
        <v>0</v>
      </c>
      <c r="L304" s="91">
        <f t="shared" si="398"/>
        <v>0</v>
      </c>
      <c r="M304" s="91">
        <f t="shared" si="398"/>
        <v>1.2000000000000001E-3</v>
      </c>
      <c r="N304" s="91">
        <f t="shared" si="398"/>
        <v>681.40800000000002</v>
      </c>
      <c r="O304" s="91">
        <f t="shared" si="398"/>
        <v>17716.608</v>
      </c>
      <c r="P304" s="91">
        <f>SUM(P300:P303)</f>
        <v>62040.49717159172</v>
      </c>
      <c r="Q304" s="91">
        <f t="shared" ref="Q304:AG304" si="399">SUM(Q300:Q303)</f>
        <v>46530.372878693786</v>
      </c>
      <c r="R304" s="91">
        <f t="shared" si="399"/>
        <v>15510.12429289793</v>
      </c>
      <c r="S304" s="91">
        <f t="shared" si="399"/>
        <v>2068.0165723863906</v>
      </c>
      <c r="T304" s="91">
        <f t="shared" si="399"/>
        <v>2373.8762234423375</v>
      </c>
      <c r="U304" s="91">
        <f t="shared" si="399"/>
        <v>23265.186439346893</v>
      </c>
      <c r="V304" s="91">
        <f t="shared" si="399"/>
        <v>7755.062146448965</v>
      </c>
      <c r="W304" s="91">
        <f t="shared" si="399"/>
        <v>0</v>
      </c>
      <c r="X304" s="91">
        <f t="shared" si="399"/>
        <v>0</v>
      </c>
      <c r="Y304" s="91">
        <f t="shared" si="399"/>
        <v>4568.8307092889936</v>
      </c>
      <c r="Z304" s="91">
        <f t="shared" si="399"/>
        <v>0</v>
      </c>
      <c r="AA304" s="91">
        <f t="shared" si="399"/>
        <v>7755.062146448965</v>
      </c>
      <c r="AB304" s="91">
        <f t="shared" si="399"/>
        <v>1551.0124292897931</v>
      </c>
      <c r="AC304" s="91">
        <f t="shared" si="399"/>
        <v>9797.4014116143699</v>
      </c>
      <c r="AD304" s="91">
        <f t="shared" si="399"/>
        <v>6222.0482754535396</v>
      </c>
      <c r="AE304" s="91">
        <f t="shared" si="399"/>
        <v>3679.5081463356237</v>
      </c>
      <c r="AF304" s="91">
        <f t="shared" si="399"/>
        <v>0</v>
      </c>
      <c r="AG304" s="91">
        <f t="shared" si="399"/>
        <v>1921.4123557421642</v>
      </c>
      <c r="AH304" s="92"/>
      <c r="AI304" s="92"/>
      <c r="AJ304" s="488" t="s">
        <v>65</v>
      </c>
      <c r="AK304" s="489"/>
      <c r="AL304" s="489"/>
      <c r="AM304" s="489"/>
      <c r="AN304" s="490"/>
      <c r="AO304" s="226">
        <f>SUM(AO300:AO303)</f>
        <v>378765.32663608133</v>
      </c>
      <c r="AP304" s="226">
        <f t="shared" ref="AP304:AZ304" si="400">SUM(AP300:AP303)</f>
        <v>126255.10887869379</v>
      </c>
      <c r="AQ304" s="226">
        <f t="shared" si="400"/>
        <v>0</v>
      </c>
      <c r="AR304" s="226">
        <f t="shared" si="400"/>
        <v>31278.706086266979</v>
      </c>
      <c r="AS304" s="226">
        <f t="shared" si="400"/>
        <v>0</v>
      </c>
      <c r="AT304" s="226">
        <f t="shared" si="400"/>
        <v>63127.554439346895</v>
      </c>
      <c r="AU304" s="226">
        <f t="shared" si="400"/>
        <v>12625.510887869379</v>
      </c>
      <c r="AV304" s="226">
        <f t="shared" si="400"/>
        <v>83283.869231518154</v>
      </c>
      <c r="AW304" s="226">
        <f t="shared" si="400"/>
        <v>50648.55494585463</v>
      </c>
      <c r="AX304" s="226">
        <f t="shared" si="400"/>
        <v>29951.836159582876</v>
      </c>
      <c r="AY304" s="226">
        <f t="shared" si="400"/>
        <v>0</v>
      </c>
      <c r="AZ304" s="226">
        <f t="shared" si="400"/>
        <v>14795.387465126743</v>
      </c>
      <c r="BA304" s="227"/>
      <c r="BB304" s="92"/>
      <c r="BC304" s="95"/>
      <c r="BD304" s="95"/>
      <c r="BE304" s="95"/>
      <c r="BF304" s="181"/>
      <c r="BG304" s="181"/>
      <c r="BH304" s="181"/>
      <c r="BI304" s="181"/>
      <c r="BJ304" s="181"/>
      <c r="BK304" s="181"/>
      <c r="BL304" s="181"/>
      <c r="BM304" s="181"/>
      <c r="BN304" s="181"/>
      <c r="BO304" s="181"/>
      <c r="BP304" s="181"/>
      <c r="BQ304" s="181"/>
      <c r="BR304" s="181"/>
      <c r="BS304" s="181"/>
      <c r="BT304" s="181"/>
      <c r="BU304" s="181"/>
      <c r="BV304" s="181"/>
      <c r="BW304" s="181"/>
      <c r="BX304" s="181"/>
      <c r="BY304" s="181"/>
      <c r="BZ304" s="181"/>
      <c r="CA304" s="181"/>
      <c r="CB304" s="181"/>
      <c r="CC304" s="181"/>
      <c r="CD304" s="181"/>
      <c r="CE304" s="181"/>
      <c r="CF304" s="181"/>
      <c r="CG304" s="181"/>
      <c r="CH304" s="181"/>
      <c r="CI304" s="181"/>
      <c r="CJ304" s="181"/>
      <c r="CK304" s="181"/>
      <c r="CL304" s="181"/>
      <c r="CM304" s="181"/>
      <c r="CN304" s="181"/>
      <c r="CO304" s="181"/>
      <c r="CP304" s="181"/>
      <c r="CQ304" s="181"/>
      <c r="CR304" s="181"/>
      <c r="CS304" s="181"/>
      <c r="CT304" s="181"/>
      <c r="CU304" s="181"/>
      <c r="CV304" s="181"/>
      <c r="CW304" s="181"/>
      <c r="CX304" s="181"/>
      <c r="CY304" s="181"/>
      <c r="CZ304" s="181"/>
      <c r="DA304" s="181"/>
      <c r="DB304" s="181"/>
      <c r="DC304" s="181"/>
      <c r="DD304" s="181"/>
      <c r="DE304" s="181"/>
      <c r="DF304" s="181"/>
      <c r="DG304" s="181"/>
      <c r="DH304" s="181"/>
      <c r="DI304" s="181"/>
      <c r="DJ304" s="181"/>
      <c r="DK304" s="181"/>
      <c r="DL304" s="181"/>
      <c r="DM304" s="181"/>
      <c r="DN304" s="181"/>
      <c r="DO304" s="181"/>
      <c r="DP304" s="181"/>
      <c r="DQ304" s="181"/>
      <c r="DR304" s="181"/>
      <c r="DS304" s="181"/>
      <c r="DT304" s="181"/>
      <c r="DU304" s="181"/>
      <c r="DV304" s="181"/>
      <c r="DW304" s="181"/>
      <c r="DX304" s="181"/>
      <c r="DY304" s="181"/>
      <c r="DZ304" s="181"/>
      <c r="EA304" s="181"/>
      <c r="EB304" s="181"/>
      <c r="EC304" s="181"/>
      <c r="ED304" s="181"/>
      <c r="EE304" s="181"/>
      <c r="EF304" s="181"/>
      <c r="EG304" s="181"/>
      <c r="EH304" s="181"/>
      <c r="EI304" s="181"/>
      <c r="EJ304" s="181"/>
      <c r="EK304" s="181"/>
      <c r="EL304" s="181"/>
      <c r="EM304" s="181"/>
      <c r="EN304" s="181"/>
      <c r="EO304" s="181"/>
      <c r="EP304" s="181"/>
      <c r="EQ304" s="181"/>
      <c r="ER304" s="181"/>
      <c r="ES304" s="181"/>
      <c r="ET304" s="181"/>
      <c r="EU304" s="181"/>
      <c r="EV304" s="181"/>
      <c r="EW304" s="181"/>
      <c r="EX304" s="181"/>
      <c r="EY304" s="181"/>
      <c r="EZ304" s="181"/>
      <c r="FA304" s="181"/>
      <c r="FB304" s="181"/>
      <c r="FC304" s="181"/>
      <c r="FD304" s="181"/>
      <c r="FE304" s="181"/>
      <c r="FF304" s="181"/>
      <c r="FG304" s="181"/>
      <c r="FH304" s="181"/>
      <c r="FI304" s="181"/>
      <c r="FJ304" s="181"/>
      <c r="FK304" s="181"/>
      <c r="FL304" s="181"/>
      <c r="FM304" s="181"/>
      <c r="FN304" s="181"/>
      <c r="FO304" s="181"/>
      <c r="FP304" s="181"/>
      <c r="FQ304" s="181"/>
      <c r="FR304" s="181"/>
      <c r="FS304" s="181"/>
      <c r="FT304" s="181"/>
      <c r="FU304" s="181"/>
    </row>
    <row r="305" spans="1:177" ht="21" customHeight="1" x14ac:dyDescent="0.2">
      <c r="B305" s="51">
        <v>5</v>
      </c>
      <c r="C305" s="77" t="s">
        <v>66</v>
      </c>
      <c r="D305" s="51">
        <v>11180</v>
      </c>
      <c r="E305" s="77" t="s">
        <v>440</v>
      </c>
      <c r="F305" s="73" t="s">
        <v>441</v>
      </c>
      <c r="G305" s="56">
        <v>44256</v>
      </c>
      <c r="H305" s="56" t="str">
        <f t="shared" ref="H305:H312" si="401" xml:space="preserve"> CONCATENATE(DATEDIF(G305,H$5,"Y")," AÑOS")</f>
        <v>3 AÑOS</v>
      </c>
      <c r="I305" s="75">
        <v>5775.0235996064312</v>
      </c>
      <c r="J305" s="75">
        <v>6506.02</v>
      </c>
      <c r="K305" s="229">
        <f>J305-I305</f>
        <v>730.99640039356927</v>
      </c>
      <c r="L305" s="230">
        <f>K305*100/I305</f>
        <v>12.657894600524001</v>
      </c>
      <c r="M305" s="60">
        <v>1.266E-3</v>
      </c>
      <c r="N305" s="61">
        <f>I305*0.1266</f>
        <v>731.11798771017413</v>
      </c>
      <c r="O305" s="58">
        <f t="shared" ref="O305:O313" si="402">I305+N305</f>
        <v>6506.1415873166052</v>
      </c>
      <c r="P305" s="61">
        <f t="shared" ref="P305:P313" si="403">O305*2</f>
        <v>13012.28317463321</v>
      </c>
      <c r="Q305" s="61">
        <f t="shared" ref="Q305:Q313" si="404">P305*0.75</f>
        <v>9759.2123809749082</v>
      </c>
      <c r="R305" s="61">
        <f t="shared" ref="R305:R313" si="405">P305*0.25</f>
        <v>3253.0707936583026</v>
      </c>
      <c r="S305" s="61">
        <f t="shared" ref="S305:S313" si="406">(P305/30)</f>
        <v>433.74277248777366</v>
      </c>
      <c r="T305" s="58">
        <f t="shared" ref="T305:T313" si="407">S305*1.1479</f>
        <v>497.89332853871537</v>
      </c>
      <c r="U305" s="61">
        <f t="shared" ref="U305:U313" si="408">O305*0.75</f>
        <v>4879.6061904874541</v>
      </c>
      <c r="V305" s="58">
        <f t="shared" ref="V305:V313" si="409">O305*0.25</f>
        <v>1626.5353968291513</v>
      </c>
      <c r="W305" s="62">
        <v>0</v>
      </c>
      <c r="X305" s="63">
        <f t="shared" ref="X305:X313" si="410">P305*W305</f>
        <v>0</v>
      </c>
      <c r="Y305" s="61">
        <v>748.84</v>
      </c>
      <c r="Z305" s="61">
        <v>0</v>
      </c>
      <c r="AA305" s="61">
        <f t="shared" ref="AA305:AA313" si="411">(S305*45)/12</f>
        <v>1626.5353968291513</v>
      </c>
      <c r="AB305" s="61">
        <f t="shared" ref="AB305:AB313" si="412">(S305*10)*(0.45*2)/12</f>
        <v>325.30707936583025</v>
      </c>
      <c r="AC305" s="61">
        <v>2143.2102784102863</v>
      </c>
      <c r="AD305" s="61">
        <v>1305.0033087663999</v>
      </c>
      <c r="AE305" s="61">
        <v>771.73465923500885</v>
      </c>
      <c r="AF305" s="61">
        <v>0</v>
      </c>
      <c r="AG305" s="61">
        <f t="shared" ref="AG305:AG313" si="413">(P305+AA305+AB305)*0.03</f>
        <v>448.92376952484574</v>
      </c>
      <c r="AH305" s="64"/>
      <c r="AI305" s="64"/>
      <c r="AJ305" s="51">
        <v>5</v>
      </c>
      <c r="AK305" s="77" t="s">
        <v>66</v>
      </c>
      <c r="AL305" s="51">
        <v>11180</v>
      </c>
      <c r="AM305" s="77" t="s">
        <v>440</v>
      </c>
      <c r="AN305" s="73" t="s">
        <v>441</v>
      </c>
      <c r="AO305" s="138">
        <f t="shared" ref="AO305:AP309" si="414">Q305*12</f>
        <v>117110.54857169889</v>
      </c>
      <c r="AP305" s="65">
        <f t="shared" si="414"/>
        <v>39036.849523899633</v>
      </c>
      <c r="AQ305" s="65">
        <f t="shared" ref="AQ305:AZ309" si="415">X305*12</f>
        <v>0</v>
      </c>
      <c r="AR305" s="65">
        <f t="shared" si="415"/>
        <v>8986.08</v>
      </c>
      <c r="AS305" s="65">
        <f t="shared" si="415"/>
        <v>0</v>
      </c>
      <c r="AT305" s="65">
        <f t="shared" si="415"/>
        <v>19518.424761949816</v>
      </c>
      <c r="AU305" s="65">
        <f t="shared" si="415"/>
        <v>3903.6849523899627</v>
      </c>
      <c r="AV305" s="65">
        <f t="shared" si="415"/>
        <v>25718.523340923435</v>
      </c>
      <c r="AW305" s="65">
        <f t="shared" si="415"/>
        <v>15660.039705196799</v>
      </c>
      <c r="AX305" s="65">
        <f t="shared" si="415"/>
        <v>9260.8159108201071</v>
      </c>
      <c r="AY305" s="65">
        <f t="shared" si="415"/>
        <v>0</v>
      </c>
      <c r="AZ305" s="65">
        <f t="shared" si="415"/>
        <v>5387.0852342981489</v>
      </c>
      <c r="BB305" s="64"/>
      <c r="BC305" s="66"/>
      <c r="BD305" s="66"/>
      <c r="BE305" s="66"/>
    </row>
    <row r="306" spans="1:177" s="102" customFormat="1" ht="21" customHeight="1" x14ac:dyDescent="0.2">
      <c r="A306" s="50"/>
      <c r="B306" s="51">
        <v>6</v>
      </c>
      <c r="C306" s="73" t="s">
        <v>66</v>
      </c>
      <c r="D306" s="67">
        <v>10062</v>
      </c>
      <c r="E306" s="73" t="s">
        <v>442</v>
      </c>
      <c r="F306" s="69" t="s">
        <v>443</v>
      </c>
      <c r="G306" s="178">
        <v>43430</v>
      </c>
      <c r="H306" s="56" t="str">
        <f t="shared" si="401"/>
        <v>6 AÑOS</v>
      </c>
      <c r="I306" s="57">
        <v>5978.0796042239999</v>
      </c>
      <c r="J306" s="58"/>
      <c r="K306" s="58"/>
      <c r="L306" s="59"/>
      <c r="M306" s="60">
        <v>4.0000000000000002E-4</v>
      </c>
      <c r="N306" s="61">
        <f>I306*0.04</f>
        <v>239.12318416895999</v>
      </c>
      <c r="O306" s="58">
        <f t="shared" si="402"/>
        <v>6217.2027883929595</v>
      </c>
      <c r="P306" s="61">
        <f t="shared" si="403"/>
        <v>12434.405576785919</v>
      </c>
      <c r="Q306" s="61">
        <f t="shared" si="404"/>
        <v>9325.8041825894397</v>
      </c>
      <c r="R306" s="61">
        <f t="shared" si="405"/>
        <v>3108.6013941964798</v>
      </c>
      <c r="S306" s="61">
        <f t="shared" si="406"/>
        <v>414.48018589286397</v>
      </c>
      <c r="T306" s="58">
        <f t="shared" si="407"/>
        <v>475.78180538641851</v>
      </c>
      <c r="U306" s="61">
        <f t="shared" si="408"/>
        <v>4662.9020912947199</v>
      </c>
      <c r="V306" s="58">
        <f t="shared" si="409"/>
        <v>1554.3006970982399</v>
      </c>
      <c r="W306" s="62">
        <v>2.5000000000000001E-2</v>
      </c>
      <c r="X306" s="63">
        <f t="shared" si="410"/>
        <v>310.86013941964802</v>
      </c>
      <c r="Y306" s="61">
        <v>701.68675906573094</v>
      </c>
      <c r="Z306" s="61">
        <v>0</v>
      </c>
      <c r="AA306" s="61">
        <f t="shared" si="411"/>
        <v>1554.3006970982399</v>
      </c>
      <c r="AB306" s="61">
        <f t="shared" si="412"/>
        <v>310.86013941964796</v>
      </c>
      <c r="AC306" s="61">
        <v>2072.3845202948596</v>
      </c>
      <c r="AD306" s="61">
        <v>1247.0479010080721</v>
      </c>
      <c r="AE306" s="61">
        <v>737.46179834894872</v>
      </c>
      <c r="AF306" s="61">
        <v>0</v>
      </c>
      <c r="AG306" s="61">
        <f t="shared" si="413"/>
        <v>428.98699239911423</v>
      </c>
      <c r="AH306" s="64"/>
      <c r="AI306" s="64"/>
      <c r="AJ306" s="51">
        <v>6</v>
      </c>
      <c r="AK306" s="73" t="s">
        <v>66</v>
      </c>
      <c r="AL306" s="67">
        <v>10062</v>
      </c>
      <c r="AM306" s="73" t="s">
        <v>442</v>
      </c>
      <c r="AN306" s="69" t="s">
        <v>443</v>
      </c>
      <c r="AO306" s="65">
        <f t="shared" si="414"/>
        <v>111909.65019107328</v>
      </c>
      <c r="AP306" s="65">
        <f t="shared" si="414"/>
        <v>37303.216730357759</v>
      </c>
      <c r="AQ306" s="65">
        <f t="shared" si="415"/>
        <v>3730.3216730357763</v>
      </c>
      <c r="AR306" s="65">
        <f t="shared" si="415"/>
        <v>8420.2411087887704</v>
      </c>
      <c r="AS306" s="65">
        <f t="shared" si="415"/>
        <v>0</v>
      </c>
      <c r="AT306" s="65">
        <f t="shared" si="415"/>
        <v>18651.608365178879</v>
      </c>
      <c r="AU306" s="65">
        <f t="shared" si="415"/>
        <v>3730.3216730357753</v>
      </c>
      <c r="AV306" s="65">
        <f t="shared" si="415"/>
        <v>24868.614243538315</v>
      </c>
      <c r="AW306" s="65">
        <f t="shared" si="415"/>
        <v>14964.574812096866</v>
      </c>
      <c r="AX306" s="65">
        <f t="shared" si="415"/>
        <v>8849.5415801873842</v>
      </c>
      <c r="AY306" s="65">
        <f t="shared" si="415"/>
        <v>0</v>
      </c>
      <c r="AZ306" s="65">
        <f t="shared" si="415"/>
        <v>5147.8439087893712</v>
      </c>
      <c r="BA306" s="50"/>
      <c r="BB306" s="64"/>
      <c r="BC306" s="66"/>
      <c r="BD306" s="66"/>
      <c r="BE306" s="66"/>
      <c r="BF306" s="50"/>
      <c r="BG306" s="50"/>
      <c r="BH306" s="50"/>
      <c r="BI306" s="50"/>
      <c r="BJ306" s="50"/>
      <c r="BK306" s="50"/>
      <c r="BL306" s="50"/>
      <c r="BM306" s="50"/>
      <c r="BN306" s="50"/>
      <c r="BO306" s="50"/>
      <c r="BP306" s="50"/>
      <c r="BQ306" s="50"/>
      <c r="BR306" s="50"/>
      <c r="BS306" s="50"/>
      <c r="BT306" s="50"/>
      <c r="BU306" s="50"/>
      <c r="BV306" s="50"/>
      <c r="BW306" s="50"/>
      <c r="BX306" s="50"/>
      <c r="BY306" s="50"/>
      <c r="BZ306" s="50"/>
      <c r="CA306" s="50"/>
      <c r="CB306" s="50"/>
      <c r="CC306" s="50"/>
      <c r="CD306" s="50"/>
      <c r="CE306" s="50"/>
      <c r="CF306" s="50"/>
      <c r="CG306" s="50"/>
      <c r="CH306" s="50"/>
      <c r="CI306" s="50"/>
      <c r="CJ306" s="50"/>
      <c r="CK306" s="50"/>
      <c r="CL306" s="50"/>
      <c r="CM306" s="50"/>
      <c r="CN306" s="50"/>
      <c r="CO306" s="50"/>
      <c r="CP306" s="50"/>
      <c r="CQ306" s="50"/>
      <c r="CR306" s="50"/>
      <c r="CS306" s="50"/>
      <c r="CT306" s="50"/>
      <c r="CU306" s="50"/>
      <c r="CV306" s="50"/>
      <c r="CW306" s="50"/>
      <c r="CX306" s="50"/>
      <c r="CY306" s="50"/>
      <c r="CZ306" s="50"/>
      <c r="DA306" s="50"/>
      <c r="DB306" s="50"/>
      <c r="DC306" s="50"/>
      <c r="DD306" s="50"/>
      <c r="DE306" s="50"/>
      <c r="DF306" s="50"/>
      <c r="DG306" s="50"/>
      <c r="DH306" s="50"/>
      <c r="DI306" s="50"/>
      <c r="DJ306" s="50"/>
      <c r="DK306" s="50"/>
      <c r="DL306" s="50"/>
      <c r="DM306" s="50"/>
      <c r="DN306" s="50"/>
      <c r="DO306" s="50"/>
      <c r="DP306" s="50"/>
      <c r="DQ306" s="50"/>
      <c r="DR306" s="50"/>
      <c r="DS306" s="50"/>
      <c r="DT306" s="50"/>
      <c r="DU306" s="50"/>
      <c r="DV306" s="50"/>
      <c r="DW306" s="50"/>
      <c r="DX306" s="50"/>
      <c r="DY306" s="50"/>
      <c r="DZ306" s="50"/>
      <c r="EA306" s="50"/>
      <c r="EB306" s="50"/>
      <c r="EC306" s="50"/>
      <c r="ED306" s="50"/>
      <c r="EE306" s="50"/>
      <c r="EF306" s="50"/>
      <c r="EG306" s="50"/>
      <c r="EH306" s="50"/>
      <c r="EI306" s="50"/>
      <c r="EJ306" s="50"/>
      <c r="EK306" s="50"/>
      <c r="EL306" s="50"/>
      <c r="EM306" s="50"/>
      <c r="EN306" s="50"/>
      <c r="EO306" s="50"/>
      <c r="EP306" s="50"/>
      <c r="EQ306" s="50"/>
      <c r="ER306" s="50"/>
      <c r="ES306" s="50"/>
      <c r="ET306" s="50"/>
      <c r="EU306" s="50"/>
      <c r="EV306" s="50"/>
      <c r="EW306" s="50"/>
      <c r="EX306" s="50"/>
      <c r="EY306" s="50"/>
      <c r="EZ306" s="50"/>
      <c r="FA306" s="50"/>
      <c r="FB306" s="50"/>
      <c r="FC306" s="50"/>
      <c r="FD306" s="50"/>
      <c r="FE306" s="50"/>
      <c r="FF306" s="50"/>
      <c r="FG306" s="50"/>
      <c r="FH306" s="50"/>
      <c r="FI306" s="50"/>
      <c r="FJ306" s="50"/>
      <c r="FK306" s="50"/>
      <c r="FL306" s="50"/>
      <c r="FM306" s="50"/>
      <c r="FN306" s="50"/>
      <c r="FO306" s="50"/>
      <c r="FP306" s="50"/>
      <c r="FQ306" s="50"/>
      <c r="FR306" s="50"/>
      <c r="FS306" s="50"/>
      <c r="FT306" s="50"/>
      <c r="FU306" s="50"/>
    </row>
    <row r="307" spans="1:177" s="102" customFormat="1" ht="21" customHeight="1" x14ac:dyDescent="0.2">
      <c r="A307" s="50"/>
      <c r="B307" s="67">
        <v>7</v>
      </c>
      <c r="C307" s="77" t="s">
        <v>66</v>
      </c>
      <c r="D307" s="67">
        <v>10047</v>
      </c>
      <c r="E307" s="72" t="s">
        <v>444</v>
      </c>
      <c r="F307" s="79" t="s">
        <v>445</v>
      </c>
      <c r="G307" s="189">
        <v>43374</v>
      </c>
      <c r="H307" s="56" t="str">
        <f t="shared" si="401"/>
        <v>6 AÑOS</v>
      </c>
      <c r="I307" s="231">
        <v>4250.321606253865</v>
      </c>
      <c r="J307" s="57"/>
      <c r="K307" s="57"/>
      <c r="L307" s="59"/>
      <c r="M307" s="60">
        <v>4.0000000000000002E-4</v>
      </c>
      <c r="N307" s="61">
        <f>I307*0.04</f>
        <v>170.01286425015459</v>
      </c>
      <c r="O307" s="58">
        <f t="shared" si="402"/>
        <v>4420.3344705040199</v>
      </c>
      <c r="P307" s="61">
        <f t="shared" si="403"/>
        <v>8840.6689410080398</v>
      </c>
      <c r="Q307" s="61">
        <f t="shared" si="404"/>
        <v>6630.5017057560299</v>
      </c>
      <c r="R307" s="61">
        <f t="shared" si="405"/>
        <v>2210.16723525201</v>
      </c>
      <c r="S307" s="61">
        <f t="shared" si="406"/>
        <v>294.688964700268</v>
      </c>
      <c r="T307" s="58">
        <f t="shared" si="407"/>
        <v>338.27346257943759</v>
      </c>
      <c r="U307" s="61">
        <f t="shared" si="408"/>
        <v>3315.2508528780149</v>
      </c>
      <c r="V307" s="58">
        <f t="shared" si="409"/>
        <v>1105.083617626005</v>
      </c>
      <c r="W307" s="101">
        <v>2.5000000000000001E-2</v>
      </c>
      <c r="X307" s="63">
        <f t="shared" si="410"/>
        <v>221.016723525201</v>
      </c>
      <c r="Y307" s="61">
        <v>158.237849586256</v>
      </c>
      <c r="Z307" s="61">
        <v>0</v>
      </c>
      <c r="AA307" s="61">
        <f t="shared" si="411"/>
        <v>1105.083617626005</v>
      </c>
      <c r="AB307" s="61">
        <f t="shared" si="412"/>
        <v>221.016723525201</v>
      </c>
      <c r="AC307" s="61">
        <v>1631.929443572174</v>
      </c>
      <c r="AD307" s="61">
        <v>826.85873825604824</v>
      </c>
      <c r="AE307" s="61">
        <v>524.32386699812821</v>
      </c>
      <c r="AF307" s="61">
        <v>0</v>
      </c>
      <c r="AG307" s="61">
        <f t="shared" si="413"/>
        <v>305.00307846477739</v>
      </c>
      <c r="AH307" s="64"/>
      <c r="AI307" s="64"/>
      <c r="AJ307" s="67">
        <v>7</v>
      </c>
      <c r="AK307" s="77" t="s">
        <v>66</v>
      </c>
      <c r="AL307" s="67">
        <v>10047</v>
      </c>
      <c r="AM307" s="72" t="s">
        <v>444</v>
      </c>
      <c r="AN307" s="79" t="s">
        <v>445</v>
      </c>
      <c r="AO307" s="65">
        <f t="shared" si="414"/>
        <v>79566.020469072362</v>
      </c>
      <c r="AP307" s="65">
        <f t="shared" si="414"/>
        <v>26522.00682302412</v>
      </c>
      <c r="AQ307" s="65">
        <f t="shared" si="415"/>
        <v>2652.2006823024121</v>
      </c>
      <c r="AR307" s="65">
        <f t="shared" si="415"/>
        <v>1898.8541950350721</v>
      </c>
      <c r="AS307" s="65">
        <f t="shared" si="415"/>
        <v>0</v>
      </c>
      <c r="AT307" s="65">
        <f t="shared" si="415"/>
        <v>13261.00341151206</v>
      </c>
      <c r="AU307" s="65">
        <f t="shared" si="415"/>
        <v>2652.2006823024121</v>
      </c>
      <c r="AV307" s="65">
        <f t="shared" si="415"/>
        <v>19583.153322866088</v>
      </c>
      <c r="AW307" s="65">
        <f t="shared" si="415"/>
        <v>9922.3048590725793</v>
      </c>
      <c r="AX307" s="65">
        <f t="shared" si="415"/>
        <v>6291.8864039775381</v>
      </c>
      <c r="AY307" s="65">
        <f t="shared" si="415"/>
        <v>0</v>
      </c>
      <c r="AZ307" s="65">
        <f t="shared" si="415"/>
        <v>3660.0369415773284</v>
      </c>
      <c r="BA307" s="50"/>
      <c r="BB307" s="64"/>
      <c r="BC307" s="66"/>
      <c r="BD307" s="66"/>
      <c r="BE307" s="66"/>
      <c r="BF307" s="50"/>
      <c r="BG307" s="50"/>
      <c r="BH307" s="50"/>
      <c r="BI307" s="50"/>
      <c r="BJ307" s="50"/>
      <c r="BK307" s="50"/>
      <c r="BL307" s="50"/>
      <c r="BM307" s="50"/>
      <c r="BN307" s="50"/>
      <c r="BO307" s="50"/>
      <c r="BP307" s="50"/>
      <c r="BQ307" s="50"/>
      <c r="BR307" s="50"/>
      <c r="BS307" s="50"/>
      <c r="BT307" s="50"/>
      <c r="BU307" s="50"/>
      <c r="BV307" s="50"/>
      <c r="BW307" s="50"/>
      <c r="BX307" s="50"/>
      <c r="BY307" s="50"/>
      <c r="BZ307" s="50"/>
      <c r="CA307" s="50"/>
      <c r="CB307" s="50"/>
      <c r="CC307" s="50"/>
      <c r="CD307" s="50"/>
      <c r="CE307" s="50"/>
      <c r="CF307" s="50"/>
      <c r="CG307" s="50"/>
      <c r="CH307" s="50"/>
      <c r="CI307" s="50"/>
      <c r="CJ307" s="50"/>
      <c r="CK307" s="50"/>
      <c r="CL307" s="50"/>
      <c r="CM307" s="50"/>
      <c r="CN307" s="50"/>
      <c r="CO307" s="50"/>
      <c r="CP307" s="50"/>
      <c r="CQ307" s="50"/>
      <c r="CR307" s="50"/>
      <c r="CS307" s="50"/>
      <c r="CT307" s="50"/>
      <c r="CU307" s="50"/>
      <c r="CV307" s="50"/>
      <c r="CW307" s="50"/>
      <c r="CX307" s="50"/>
      <c r="CY307" s="50"/>
      <c r="CZ307" s="50"/>
      <c r="DA307" s="50"/>
      <c r="DB307" s="50"/>
      <c r="DC307" s="50"/>
      <c r="DD307" s="50"/>
      <c r="DE307" s="50"/>
      <c r="DF307" s="50"/>
      <c r="DG307" s="50"/>
      <c r="DH307" s="50"/>
      <c r="DI307" s="50"/>
      <c r="DJ307" s="50"/>
      <c r="DK307" s="50"/>
      <c r="DL307" s="50"/>
      <c r="DM307" s="50"/>
      <c r="DN307" s="50"/>
      <c r="DO307" s="50"/>
      <c r="DP307" s="50"/>
      <c r="DQ307" s="50"/>
      <c r="DR307" s="50"/>
      <c r="DS307" s="50"/>
      <c r="DT307" s="50"/>
      <c r="DU307" s="50"/>
      <c r="DV307" s="50"/>
      <c r="DW307" s="50"/>
      <c r="DX307" s="50"/>
      <c r="DY307" s="50"/>
      <c r="DZ307" s="50"/>
      <c r="EA307" s="50"/>
      <c r="EB307" s="50"/>
      <c r="EC307" s="50"/>
      <c r="ED307" s="50"/>
      <c r="EE307" s="50"/>
      <c r="EF307" s="50"/>
      <c r="EG307" s="50"/>
      <c r="EH307" s="50"/>
      <c r="EI307" s="50"/>
      <c r="EJ307" s="50"/>
      <c r="EK307" s="50"/>
      <c r="EL307" s="50"/>
      <c r="EM307" s="50"/>
      <c r="EN307" s="50"/>
      <c r="EO307" s="50"/>
      <c r="EP307" s="50"/>
      <c r="EQ307" s="50"/>
      <c r="ER307" s="50"/>
      <c r="ES307" s="50"/>
      <c r="ET307" s="50"/>
      <c r="EU307" s="50"/>
      <c r="EV307" s="50"/>
      <c r="EW307" s="50"/>
      <c r="EX307" s="50"/>
      <c r="EY307" s="50"/>
      <c r="EZ307" s="50"/>
      <c r="FA307" s="50"/>
      <c r="FB307" s="50"/>
      <c r="FC307" s="50"/>
      <c r="FD307" s="50"/>
      <c r="FE307" s="50"/>
      <c r="FF307" s="50"/>
      <c r="FG307" s="50"/>
      <c r="FH307" s="50"/>
      <c r="FI307" s="50"/>
      <c r="FJ307" s="50"/>
      <c r="FK307" s="50"/>
      <c r="FL307" s="50"/>
      <c r="FM307" s="50"/>
      <c r="FN307" s="50"/>
      <c r="FO307" s="50"/>
      <c r="FP307" s="50"/>
      <c r="FQ307" s="50"/>
      <c r="FR307" s="50"/>
      <c r="FS307" s="50"/>
      <c r="FT307" s="50"/>
      <c r="FU307" s="50"/>
    </row>
    <row r="308" spans="1:177" s="102" customFormat="1" ht="21" customHeight="1" x14ac:dyDescent="0.2">
      <c r="A308" s="50"/>
      <c r="B308" s="51">
        <v>8</v>
      </c>
      <c r="C308" s="73" t="s">
        <v>66</v>
      </c>
      <c r="D308" s="67">
        <v>25004</v>
      </c>
      <c r="E308" s="68" t="s">
        <v>446</v>
      </c>
      <c r="F308" s="72" t="s">
        <v>447</v>
      </c>
      <c r="G308" s="123">
        <v>44636</v>
      </c>
      <c r="H308" s="56" t="str">
        <f t="shared" si="401"/>
        <v>2 AÑOS</v>
      </c>
      <c r="I308" s="57">
        <v>3572.1682559506939</v>
      </c>
      <c r="J308" s="58">
        <v>4654.21</v>
      </c>
      <c r="K308" s="108">
        <f>J308-I308</f>
        <v>1082.0417440493061</v>
      </c>
      <c r="L308" s="173">
        <f>K308*100/I308</f>
        <v>30.290895235597809</v>
      </c>
      <c r="M308" s="60">
        <v>3.029E-3</v>
      </c>
      <c r="N308" s="61">
        <f>I308*0.3029</f>
        <v>1082.0097647274652</v>
      </c>
      <c r="O308" s="58">
        <f t="shared" si="402"/>
        <v>4654.1780206781586</v>
      </c>
      <c r="P308" s="61">
        <f t="shared" si="403"/>
        <v>9308.3560413563173</v>
      </c>
      <c r="Q308" s="61">
        <f t="shared" si="404"/>
        <v>6981.267031017238</v>
      </c>
      <c r="R308" s="61">
        <f t="shared" si="405"/>
        <v>2327.0890103390793</v>
      </c>
      <c r="S308" s="61">
        <f t="shared" si="406"/>
        <v>310.27853471187723</v>
      </c>
      <c r="T308" s="58">
        <f t="shared" si="407"/>
        <v>356.16872999576384</v>
      </c>
      <c r="U308" s="61">
        <f t="shared" si="408"/>
        <v>3490.633515508619</v>
      </c>
      <c r="V308" s="58">
        <f t="shared" si="409"/>
        <v>1163.5445051695397</v>
      </c>
      <c r="W308" s="62">
        <v>0</v>
      </c>
      <c r="X308" s="63">
        <f t="shared" si="410"/>
        <v>0</v>
      </c>
      <c r="Y308" s="61">
        <v>196.40633600000001</v>
      </c>
      <c r="Z308" s="61">
        <v>0</v>
      </c>
      <c r="AA308" s="61">
        <f t="shared" si="411"/>
        <v>1163.5445051695397</v>
      </c>
      <c r="AB308" s="61">
        <f t="shared" si="412"/>
        <v>232.70890103390795</v>
      </c>
      <c r="AC308" s="61">
        <v>1689.2500484310001</v>
      </c>
      <c r="AD308" s="61">
        <v>870.6010351651455</v>
      </c>
      <c r="AE308" s="61">
        <v>552.06153149343402</v>
      </c>
      <c r="AF308" s="61">
        <v>0</v>
      </c>
      <c r="AG308" s="61">
        <f t="shared" si="413"/>
        <v>321.1382834267929</v>
      </c>
      <c r="AH308" s="64"/>
      <c r="AI308" s="64"/>
      <c r="AJ308" s="51">
        <v>8</v>
      </c>
      <c r="AK308" s="73" t="s">
        <v>66</v>
      </c>
      <c r="AL308" s="67">
        <v>25004</v>
      </c>
      <c r="AM308" s="68" t="s">
        <v>446</v>
      </c>
      <c r="AN308" s="72" t="s">
        <v>447</v>
      </c>
      <c r="AO308" s="65">
        <f t="shared" si="414"/>
        <v>83775.204372206848</v>
      </c>
      <c r="AP308" s="65">
        <f t="shared" si="414"/>
        <v>27925.068124068952</v>
      </c>
      <c r="AQ308" s="65">
        <f t="shared" si="415"/>
        <v>0</v>
      </c>
      <c r="AR308" s="65">
        <f t="shared" si="415"/>
        <v>2356.8760320000001</v>
      </c>
      <c r="AS308" s="65">
        <f t="shared" si="415"/>
        <v>0</v>
      </c>
      <c r="AT308" s="65">
        <f t="shared" si="415"/>
        <v>13962.534062034476</v>
      </c>
      <c r="AU308" s="65">
        <f t="shared" si="415"/>
        <v>2792.5068124068953</v>
      </c>
      <c r="AV308" s="65">
        <f t="shared" si="415"/>
        <v>20271.000581172</v>
      </c>
      <c r="AW308" s="65">
        <f t="shared" si="415"/>
        <v>10447.212421981745</v>
      </c>
      <c r="AX308" s="65">
        <f t="shared" si="415"/>
        <v>6624.7383779212087</v>
      </c>
      <c r="AY308" s="65">
        <f t="shared" si="415"/>
        <v>0</v>
      </c>
      <c r="AZ308" s="65">
        <f t="shared" si="415"/>
        <v>3853.6594011215147</v>
      </c>
      <c r="BA308" s="50"/>
      <c r="BB308" s="64"/>
      <c r="BC308" s="66"/>
      <c r="BD308" s="66"/>
      <c r="BE308" s="66"/>
      <c r="BF308" s="50"/>
      <c r="BG308" s="50"/>
      <c r="BH308" s="50"/>
      <c r="BI308" s="50"/>
      <c r="BJ308" s="50"/>
      <c r="BK308" s="50"/>
      <c r="BL308" s="50"/>
      <c r="BM308" s="50"/>
      <c r="BN308" s="50"/>
      <c r="BO308" s="50"/>
      <c r="BP308" s="50"/>
      <c r="BQ308" s="50"/>
      <c r="BR308" s="50"/>
      <c r="BS308" s="50"/>
      <c r="BT308" s="50"/>
      <c r="BU308" s="50"/>
      <c r="BV308" s="50"/>
      <c r="BW308" s="50"/>
      <c r="BX308" s="50"/>
      <c r="BY308" s="50"/>
      <c r="BZ308" s="50"/>
      <c r="CA308" s="50"/>
      <c r="CB308" s="50"/>
      <c r="CC308" s="50"/>
      <c r="CD308" s="50"/>
      <c r="CE308" s="50"/>
      <c r="CF308" s="50"/>
      <c r="CG308" s="50"/>
      <c r="CH308" s="50"/>
      <c r="CI308" s="50"/>
      <c r="CJ308" s="50"/>
      <c r="CK308" s="50"/>
      <c r="CL308" s="50"/>
      <c r="CM308" s="50"/>
      <c r="CN308" s="50"/>
      <c r="CO308" s="50"/>
      <c r="CP308" s="50"/>
      <c r="CQ308" s="50"/>
      <c r="CR308" s="50"/>
      <c r="CS308" s="50"/>
      <c r="CT308" s="50"/>
      <c r="CU308" s="50"/>
      <c r="CV308" s="50"/>
      <c r="CW308" s="50"/>
      <c r="CX308" s="50"/>
      <c r="CY308" s="50"/>
      <c r="CZ308" s="50"/>
      <c r="DA308" s="50"/>
      <c r="DB308" s="50"/>
      <c r="DC308" s="50"/>
      <c r="DD308" s="50"/>
      <c r="DE308" s="50"/>
      <c r="DF308" s="50"/>
      <c r="DG308" s="50"/>
      <c r="DH308" s="50"/>
      <c r="DI308" s="50"/>
      <c r="DJ308" s="50"/>
      <c r="DK308" s="50"/>
      <c r="DL308" s="50"/>
      <c r="DM308" s="50"/>
      <c r="DN308" s="50"/>
      <c r="DO308" s="50"/>
      <c r="DP308" s="50"/>
      <c r="DQ308" s="50"/>
      <c r="DR308" s="50"/>
      <c r="DS308" s="50"/>
      <c r="DT308" s="50"/>
      <c r="DU308" s="50"/>
      <c r="DV308" s="50"/>
      <c r="DW308" s="50"/>
      <c r="DX308" s="50"/>
      <c r="DY308" s="50"/>
      <c r="DZ308" s="50"/>
      <c r="EA308" s="50"/>
      <c r="EB308" s="50"/>
      <c r="EC308" s="50"/>
      <c r="ED308" s="50"/>
      <c r="EE308" s="50"/>
      <c r="EF308" s="50"/>
      <c r="EG308" s="50"/>
      <c r="EH308" s="50"/>
      <c r="EI308" s="50"/>
      <c r="EJ308" s="50"/>
      <c r="EK308" s="50"/>
      <c r="EL308" s="50"/>
      <c r="EM308" s="50"/>
      <c r="EN308" s="50"/>
      <c r="EO308" s="50"/>
      <c r="EP308" s="50"/>
      <c r="EQ308" s="50"/>
      <c r="ER308" s="50"/>
      <c r="ES308" s="50"/>
      <c r="ET308" s="50"/>
      <c r="EU308" s="50"/>
      <c r="EV308" s="50"/>
      <c r="EW308" s="50"/>
      <c r="EX308" s="50"/>
      <c r="EY308" s="50"/>
      <c r="EZ308" s="50"/>
      <c r="FA308" s="50"/>
      <c r="FB308" s="50"/>
      <c r="FC308" s="50"/>
      <c r="FD308" s="50"/>
      <c r="FE308" s="50"/>
      <c r="FF308" s="50"/>
      <c r="FG308" s="50"/>
      <c r="FH308" s="50"/>
      <c r="FI308" s="50"/>
      <c r="FJ308" s="50"/>
      <c r="FK308" s="50"/>
      <c r="FL308" s="50"/>
      <c r="FM308" s="50"/>
      <c r="FN308" s="50"/>
      <c r="FO308" s="50"/>
      <c r="FP308" s="50"/>
      <c r="FQ308" s="50"/>
      <c r="FR308" s="50"/>
      <c r="FS308" s="50"/>
      <c r="FT308" s="50"/>
      <c r="FU308" s="50"/>
    </row>
    <row r="309" spans="1:177" ht="21" customHeight="1" x14ac:dyDescent="0.2">
      <c r="B309" s="51">
        <v>9</v>
      </c>
      <c r="C309" s="73" t="s">
        <v>66</v>
      </c>
      <c r="D309" s="67">
        <v>25003</v>
      </c>
      <c r="E309" s="72" t="s">
        <v>448</v>
      </c>
      <c r="F309" s="72" t="s">
        <v>449</v>
      </c>
      <c r="G309" s="123">
        <v>44593</v>
      </c>
      <c r="H309" s="56" t="str">
        <f t="shared" si="401"/>
        <v>2 AÑOS</v>
      </c>
      <c r="I309" s="57">
        <v>5028.6080312163012</v>
      </c>
      <c r="J309" s="57"/>
      <c r="K309" s="57"/>
      <c r="L309" s="74"/>
      <c r="M309" s="60">
        <v>4.0000000000000002E-4</v>
      </c>
      <c r="N309" s="61">
        <f>I309*0.04</f>
        <v>201.14432124865206</v>
      </c>
      <c r="O309" s="58">
        <f t="shared" si="402"/>
        <v>5229.7523524649532</v>
      </c>
      <c r="P309" s="61">
        <f t="shared" si="403"/>
        <v>10459.504704929906</v>
      </c>
      <c r="Q309" s="61">
        <f t="shared" si="404"/>
        <v>7844.6285286974298</v>
      </c>
      <c r="R309" s="61">
        <f t="shared" si="405"/>
        <v>2614.8761762324766</v>
      </c>
      <c r="S309" s="61">
        <f t="shared" si="406"/>
        <v>348.65015683099688</v>
      </c>
      <c r="T309" s="58">
        <f t="shared" si="407"/>
        <v>400.21551502630126</v>
      </c>
      <c r="U309" s="61">
        <f t="shared" si="408"/>
        <v>3922.3142643487149</v>
      </c>
      <c r="V309" s="58">
        <f t="shared" si="409"/>
        <v>1307.4380881162383</v>
      </c>
      <c r="W309" s="101">
        <v>0</v>
      </c>
      <c r="X309" s="63">
        <f t="shared" si="410"/>
        <v>0</v>
      </c>
      <c r="Y309" s="61">
        <v>540.53484792228028</v>
      </c>
      <c r="Z309" s="61">
        <v>0</v>
      </c>
      <c r="AA309" s="61">
        <f t="shared" si="411"/>
        <v>1307.4380881162383</v>
      </c>
      <c r="AB309" s="61">
        <f t="shared" si="412"/>
        <v>261.48761762324767</v>
      </c>
      <c r="AC309" s="61">
        <v>1830.3369794781256</v>
      </c>
      <c r="AD309" s="61">
        <v>993.15481131351794</v>
      </c>
      <c r="AE309" s="61">
        <v>620.33404829076699</v>
      </c>
      <c r="AF309" s="61">
        <v>0</v>
      </c>
      <c r="AG309" s="61">
        <f t="shared" si="413"/>
        <v>360.85291232008177</v>
      </c>
      <c r="AH309" s="64"/>
      <c r="AI309" s="64"/>
      <c r="AJ309" s="51">
        <v>9</v>
      </c>
      <c r="AK309" s="73" t="s">
        <v>66</v>
      </c>
      <c r="AL309" s="67">
        <v>25003</v>
      </c>
      <c r="AM309" s="72" t="s">
        <v>448</v>
      </c>
      <c r="AN309" s="72" t="s">
        <v>449</v>
      </c>
      <c r="AO309" s="138">
        <f t="shared" si="414"/>
        <v>94135.542344369154</v>
      </c>
      <c r="AP309" s="65">
        <f t="shared" si="414"/>
        <v>31378.514114789719</v>
      </c>
      <c r="AQ309" s="65">
        <f t="shared" si="415"/>
        <v>0</v>
      </c>
      <c r="AR309" s="65">
        <f t="shared" si="415"/>
        <v>6486.4181750673633</v>
      </c>
      <c r="AS309" s="65">
        <f t="shared" si="415"/>
        <v>0</v>
      </c>
      <c r="AT309" s="65">
        <f t="shared" si="415"/>
        <v>15689.25705739486</v>
      </c>
      <c r="AU309" s="65">
        <f t="shared" si="415"/>
        <v>3137.8514114789723</v>
      </c>
      <c r="AV309" s="65">
        <f t="shared" si="415"/>
        <v>21964.043753737507</v>
      </c>
      <c r="AW309" s="65">
        <f t="shared" si="415"/>
        <v>11917.857735762216</v>
      </c>
      <c r="AX309" s="65">
        <f t="shared" si="415"/>
        <v>7444.0085794892038</v>
      </c>
      <c r="AY309" s="65">
        <f t="shared" si="415"/>
        <v>0</v>
      </c>
      <c r="AZ309" s="65">
        <f t="shared" si="415"/>
        <v>4330.2349478409815</v>
      </c>
      <c r="BB309" s="64"/>
      <c r="BC309" s="66"/>
      <c r="BD309" s="66"/>
      <c r="BE309" s="66"/>
    </row>
    <row r="310" spans="1:177" s="364" customFormat="1" ht="21" customHeight="1" x14ac:dyDescent="0.2">
      <c r="B310" s="365">
        <v>10</v>
      </c>
      <c r="C310" s="372" t="s">
        <v>66</v>
      </c>
      <c r="D310" s="365">
        <v>11153</v>
      </c>
      <c r="E310" s="371" t="s">
        <v>450</v>
      </c>
      <c r="F310" s="378" t="s">
        <v>451</v>
      </c>
      <c r="G310" s="56">
        <v>41022</v>
      </c>
      <c r="H310" s="56" t="str">
        <f t="shared" si="401"/>
        <v>12 AÑOS</v>
      </c>
      <c r="I310" s="213">
        <v>8774.8175673822552</v>
      </c>
      <c r="J310" s="57"/>
      <c r="K310" s="57"/>
      <c r="L310" s="74"/>
      <c r="M310" s="60">
        <v>4.0000000000000002E-4</v>
      </c>
      <c r="N310" s="61">
        <f>I310*0.04</f>
        <v>350.99270269529023</v>
      </c>
      <c r="O310" s="58">
        <f t="shared" si="402"/>
        <v>9125.8102700775453</v>
      </c>
      <c r="P310" s="61">
        <f t="shared" si="403"/>
        <v>18251.620540155091</v>
      </c>
      <c r="Q310" s="61">
        <f t="shared" si="404"/>
        <v>13688.715405116318</v>
      </c>
      <c r="R310" s="61">
        <f t="shared" si="405"/>
        <v>4562.9051350387726</v>
      </c>
      <c r="S310" s="61">
        <f t="shared" si="406"/>
        <v>608.38735133850298</v>
      </c>
      <c r="T310" s="58">
        <f t="shared" si="407"/>
        <v>698.36784060146749</v>
      </c>
      <c r="U310" s="61">
        <f t="shared" si="408"/>
        <v>6844.357702558159</v>
      </c>
      <c r="V310" s="58">
        <f t="shared" si="409"/>
        <v>2281.4525675193863</v>
      </c>
      <c r="W310" s="101">
        <v>0</v>
      </c>
      <c r="X310" s="63">
        <f t="shared" si="410"/>
        <v>0</v>
      </c>
      <c r="Y310" s="61">
        <v>1332.718696596844</v>
      </c>
      <c r="Z310" s="61">
        <v>0</v>
      </c>
      <c r="AA310" s="61">
        <f t="shared" si="411"/>
        <v>2281.4525675193863</v>
      </c>
      <c r="AB310" s="61">
        <f t="shared" si="412"/>
        <v>456.29051350387726</v>
      </c>
      <c r="AC310" s="61">
        <v>2785.353255258522</v>
      </c>
      <c r="AD310" s="61">
        <v>1830.4570286084765</v>
      </c>
      <c r="AE310" s="61">
        <v>1082.4701529322747</v>
      </c>
      <c r="AF310" s="61">
        <v>0</v>
      </c>
      <c r="AG310" s="61">
        <f t="shared" si="413"/>
        <v>629.68090863535065</v>
      </c>
      <c r="AH310" s="64"/>
      <c r="AI310" s="64"/>
      <c r="AJ310" s="365">
        <v>10</v>
      </c>
      <c r="AK310" s="372" t="s">
        <v>66</v>
      </c>
      <c r="AL310" s="365">
        <v>11153</v>
      </c>
      <c r="AM310" s="371" t="s">
        <v>450</v>
      </c>
      <c r="AN310" s="378" t="s">
        <v>451</v>
      </c>
      <c r="AO310" s="368">
        <f t="shared" ref="AO310:AP311" si="416">Q310*3</f>
        <v>41066.146215348956</v>
      </c>
      <c r="AP310" s="368">
        <f t="shared" si="416"/>
        <v>13688.715405116318</v>
      </c>
      <c r="AQ310" s="368">
        <f t="shared" ref="AQ310:AZ311" si="417">X310*3</f>
        <v>0</v>
      </c>
      <c r="AR310" s="368">
        <f t="shared" si="417"/>
        <v>3998.156089790532</v>
      </c>
      <c r="AS310" s="368">
        <f t="shared" si="417"/>
        <v>0</v>
      </c>
      <c r="AT310" s="368">
        <f t="shared" si="417"/>
        <v>6844.357702558159</v>
      </c>
      <c r="AU310" s="368">
        <f t="shared" si="417"/>
        <v>1368.8715405116318</v>
      </c>
      <c r="AV310" s="368">
        <f t="shared" si="417"/>
        <v>8356.0597657755661</v>
      </c>
      <c r="AW310" s="368">
        <f t="shared" si="417"/>
        <v>5491.3710858254299</v>
      </c>
      <c r="AX310" s="368">
        <f t="shared" si="417"/>
        <v>3247.4104587968241</v>
      </c>
      <c r="AY310" s="368">
        <f t="shared" si="417"/>
        <v>0</v>
      </c>
      <c r="AZ310" s="368">
        <f t="shared" si="417"/>
        <v>1889.0427259060521</v>
      </c>
      <c r="BB310" s="64"/>
      <c r="BC310" s="66"/>
      <c r="BD310" s="66"/>
      <c r="BE310" s="66"/>
    </row>
    <row r="311" spans="1:177" s="364" customFormat="1" ht="21" customHeight="1" x14ac:dyDescent="0.2">
      <c r="B311" s="369">
        <v>11</v>
      </c>
      <c r="C311" s="372" t="s">
        <v>66</v>
      </c>
      <c r="D311" s="365">
        <v>23015</v>
      </c>
      <c r="E311" s="371" t="s">
        <v>452</v>
      </c>
      <c r="F311" s="378" t="s">
        <v>430</v>
      </c>
      <c r="G311" s="55">
        <v>44636</v>
      </c>
      <c r="H311" s="55" t="str">
        <f t="shared" si="401"/>
        <v>2 AÑOS</v>
      </c>
      <c r="I311" s="57">
        <v>6063.79856506549</v>
      </c>
      <c r="J311" s="57"/>
      <c r="K311" s="108"/>
      <c r="L311" s="109"/>
      <c r="M311" s="171">
        <v>4.0000000000000002E-4</v>
      </c>
      <c r="N311" s="81">
        <f>I311*0.04</f>
        <v>242.55194260261962</v>
      </c>
      <c r="O311" s="57">
        <f t="shared" si="402"/>
        <v>6306.3505076681095</v>
      </c>
      <c r="P311" s="81">
        <f t="shared" si="403"/>
        <v>12612.701015336219</v>
      </c>
      <c r="Q311" s="81">
        <f t="shared" si="404"/>
        <v>9459.5257615021637</v>
      </c>
      <c r="R311" s="81">
        <f t="shared" si="405"/>
        <v>3153.1752538340547</v>
      </c>
      <c r="S311" s="81">
        <f t="shared" si="406"/>
        <v>420.42336717787396</v>
      </c>
      <c r="T311" s="57">
        <f t="shared" si="407"/>
        <v>482.60398318348149</v>
      </c>
      <c r="U311" s="81">
        <f t="shared" si="408"/>
        <v>4729.7628807510819</v>
      </c>
      <c r="V311" s="57">
        <f t="shared" si="409"/>
        <v>1576.5876269170274</v>
      </c>
      <c r="W311" s="101">
        <v>0</v>
      </c>
      <c r="X311" s="158">
        <f t="shared" si="410"/>
        <v>0</v>
      </c>
      <c r="Y311" s="81">
        <v>716.24</v>
      </c>
      <c r="Z311" s="81">
        <v>0</v>
      </c>
      <c r="AA311" s="81">
        <f t="shared" si="411"/>
        <v>1576.5876269170274</v>
      </c>
      <c r="AB311" s="81">
        <f t="shared" si="412"/>
        <v>315.31752538340544</v>
      </c>
      <c r="AC311" s="81">
        <v>2094.2367423759524</v>
      </c>
      <c r="AD311" s="81">
        <v>1264.9291701230641</v>
      </c>
      <c r="AE311" s="81">
        <v>748.03617393439629</v>
      </c>
      <c r="AF311" s="81">
        <v>0</v>
      </c>
      <c r="AG311" s="81">
        <f t="shared" si="413"/>
        <v>435.13818502909953</v>
      </c>
      <c r="AH311" s="64"/>
      <c r="AI311" s="64"/>
      <c r="AJ311" s="369">
        <v>11</v>
      </c>
      <c r="AK311" s="372" t="s">
        <v>66</v>
      </c>
      <c r="AL311" s="365">
        <v>23015</v>
      </c>
      <c r="AM311" s="371" t="s">
        <v>452</v>
      </c>
      <c r="AN311" s="378" t="s">
        <v>430</v>
      </c>
      <c r="AO311" s="368">
        <f t="shared" si="416"/>
        <v>28378.577284506493</v>
      </c>
      <c r="AP311" s="368">
        <f t="shared" si="416"/>
        <v>9459.5257615021637</v>
      </c>
      <c r="AQ311" s="368">
        <f t="shared" si="417"/>
        <v>0</v>
      </c>
      <c r="AR311" s="368">
        <f t="shared" si="417"/>
        <v>2148.7200000000003</v>
      </c>
      <c r="AS311" s="368">
        <f t="shared" si="417"/>
        <v>0</v>
      </c>
      <c r="AT311" s="368">
        <f t="shared" si="417"/>
        <v>4729.7628807510819</v>
      </c>
      <c r="AU311" s="368">
        <f t="shared" si="417"/>
        <v>945.95257615021637</v>
      </c>
      <c r="AV311" s="368">
        <f t="shared" si="417"/>
        <v>6282.7102271278573</v>
      </c>
      <c r="AW311" s="368">
        <f t="shared" si="417"/>
        <v>3794.7875103691922</v>
      </c>
      <c r="AX311" s="368">
        <f t="shared" si="417"/>
        <v>2244.108521803189</v>
      </c>
      <c r="AY311" s="368">
        <f t="shared" si="417"/>
        <v>0</v>
      </c>
      <c r="AZ311" s="368">
        <f t="shared" si="417"/>
        <v>1305.4145550872986</v>
      </c>
      <c r="BB311" s="64"/>
      <c r="BC311" s="66"/>
      <c r="BD311" s="66"/>
      <c r="BE311" s="66"/>
    </row>
    <row r="312" spans="1:177" s="364" customFormat="1" ht="21" customHeight="1" x14ac:dyDescent="0.2">
      <c r="B312" s="369">
        <v>12</v>
      </c>
      <c r="C312" s="372" t="s">
        <v>66</v>
      </c>
      <c r="D312" s="365">
        <v>25010</v>
      </c>
      <c r="E312" s="371" t="s">
        <v>453</v>
      </c>
      <c r="F312" s="371" t="s">
        <v>430</v>
      </c>
      <c r="G312" s="384">
        <v>45292</v>
      </c>
      <c r="H312" s="55" t="str">
        <f t="shared" si="401"/>
        <v>0 AÑOS</v>
      </c>
      <c r="I312" s="57">
        <v>6063.7985650654873</v>
      </c>
      <c r="J312" s="58"/>
      <c r="K312" s="58"/>
      <c r="L312" s="59"/>
      <c r="M312" s="60">
        <v>4.0000000000000002E-4</v>
      </c>
      <c r="N312" s="61">
        <f>I312*0.04</f>
        <v>242.5519426026195</v>
      </c>
      <c r="O312" s="58">
        <f t="shared" si="402"/>
        <v>6306.3505076681067</v>
      </c>
      <c r="P312" s="61">
        <f t="shared" si="403"/>
        <v>12612.701015336213</v>
      </c>
      <c r="Q312" s="61">
        <f t="shared" si="404"/>
        <v>9459.5257615021601</v>
      </c>
      <c r="R312" s="61">
        <f t="shared" si="405"/>
        <v>3153.1752538340534</v>
      </c>
      <c r="S312" s="61">
        <f t="shared" si="406"/>
        <v>420.42336717787379</v>
      </c>
      <c r="T312" s="58">
        <f t="shared" si="407"/>
        <v>482.60398318348126</v>
      </c>
      <c r="U312" s="61">
        <f t="shared" si="408"/>
        <v>4729.76288075108</v>
      </c>
      <c r="V312" s="58">
        <f t="shared" si="409"/>
        <v>1576.5876269170267</v>
      </c>
      <c r="W312" s="101">
        <v>0</v>
      </c>
      <c r="X312" s="63">
        <f t="shared" si="410"/>
        <v>0</v>
      </c>
      <c r="Y312" s="61">
        <v>716.23566685143487</v>
      </c>
      <c r="Z312" s="61">
        <v>0</v>
      </c>
      <c r="AA312" s="61">
        <f t="shared" si="411"/>
        <v>1576.5876269170267</v>
      </c>
      <c r="AB312" s="61">
        <f t="shared" si="412"/>
        <v>315.31752538340533</v>
      </c>
      <c r="AC312" s="61">
        <v>2094.2367423759515</v>
      </c>
      <c r="AD312" s="61">
        <v>1264.9291701230636</v>
      </c>
      <c r="AE312" s="61">
        <v>748.03617393439606</v>
      </c>
      <c r="AF312" s="61">
        <v>0</v>
      </c>
      <c r="AG312" s="61">
        <f t="shared" si="413"/>
        <v>435.1381850290993</v>
      </c>
      <c r="AH312" s="64"/>
      <c r="AI312" s="64"/>
      <c r="AJ312" s="369">
        <v>12</v>
      </c>
      <c r="AK312" s="372" t="s">
        <v>66</v>
      </c>
      <c r="AL312" s="365">
        <v>25010</v>
      </c>
      <c r="AM312" s="371" t="s">
        <v>453</v>
      </c>
      <c r="AN312" s="371" t="s">
        <v>430</v>
      </c>
      <c r="AO312" s="401">
        <f>Q312*12</f>
        <v>113514.30913802591</v>
      </c>
      <c r="AP312" s="368">
        <f>R312*12</f>
        <v>37838.10304600864</v>
      </c>
      <c r="AQ312" s="368">
        <f t="shared" ref="AQ312:AZ312" si="418">X312*12</f>
        <v>0</v>
      </c>
      <c r="AR312" s="368">
        <f t="shared" si="418"/>
        <v>8594.8280022172185</v>
      </c>
      <c r="AS312" s="368">
        <f t="shared" si="418"/>
        <v>0</v>
      </c>
      <c r="AT312" s="368">
        <f t="shared" si="418"/>
        <v>18919.05152300432</v>
      </c>
      <c r="AU312" s="368">
        <f t="shared" si="418"/>
        <v>3783.8103046008637</v>
      </c>
      <c r="AV312" s="368">
        <f t="shared" si="418"/>
        <v>25130.840908511418</v>
      </c>
      <c r="AW312" s="368">
        <f t="shared" si="418"/>
        <v>15179.150041476763</v>
      </c>
      <c r="AX312" s="368">
        <f t="shared" si="418"/>
        <v>8976.4340872127523</v>
      </c>
      <c r="AY312" s="368">
        <f t="shared" si="418"/>
        <v>0</v>
      </c>
      <c r="AZ312" s="368">
        <f t="shared" si="418"/>
        <v>5221.6582203491917</v>
      </c>
      <c r="BB312" s="64"/>
      <c r="BC312" s="66"/>
      <c r="BD312" s="66"/>
      <c r="BE312" s="66"/>
    </row>
    <row r="313" spans="1:177" s="364" customFormat="1" ht="21" customHeight="1" x14ac:dyDescent="0.2">
      <c r="B313" s="365">
        <v>13</v>
      </c>
      <c r="C313" s="372" t="s">
        <v>66</v>
      </c>
      <c r="D313" s="365">
        <v>16552</v>
      </c>
      <c r="E313" s="372" t="s">
        <v>454</v>
      </c>
      <c r="F313" s="378" t="s">
        <v>455</v>
      </c>
      <c r="G313" s="415">
        <v>43862</v>
      </c>
      <c r="H313" s="56" t="str">
        <f xml:space="preserve"> CONCATENATE(DATEDIF(G313,H$5,"Y")," AÑOS")</f>
        <v>4 AÑOS</v>
      </c>
      <c r="I313" s="57">
        <v>4913.376968141848</v>
      </c>
      <c r="J313" s="58">
        <v>5984.31</v>
      </c>
      <c r="K313" s="172">
        <f>J313-I313</f>
        <v>1070.9330318581524</v>
      </c>
      <c r="L313" s="173">
        <f>K313*100/I313</f>
        <v>21.796272478216956</v>
      </c>
      <c r="M313" s="60">
        <v>2.1800000000000001E-3</v>
      </c>
      <c r="N313" s="61">
        <f>I313*0.2179</f>
        <v>1070.6248413581088</v>
      </c>
      <c r="O313" s="58">
        <f t="shared" si="402"/>
        <v>5984.0018094999568</v>
      </c>
      <c r="P313" s="61">
        <f t="shared" si="403"/>
        <v>11968.003618999914</v>
      </c>
      <c r="Q313" s="61">
        <f t="shared" si="404"/>
        <v>8976.0027142499348</v>
      </c>
      <c r="R313" s="61">
        <f t="shared" si="405"/>
        <v>2992.0009047499784</v>
      </c>
      <c r="S313" s="61">
        <f t="shared" si="406"/>
        <v>398.93345396666376</v>
      </c>
      <c r="T313" s="58">
        <f t="shared" si="407"/>
        <v>457.93571180833328</v>
      </c>
      <c r="U313" s="61">
        <f t="shared" si="408"/>
        <v>4488.0013571249674</v>
      </c>
      <c r="V313" s="58">
        <f t="shared" si="409"/>
        <v>1496.0004523749892</v>
      </c>
      <c r="W313" s="101">
        <v>0</v>
      </c>
      <c r="X313" s="63">
        <f t="shared" si="410"/>
        <v>0</v>
      </c>
      <c r="Y313" s="61">
        <v>663.67865599999993</v>
      </c>
      <c r="Z313" s="61">
        <v>0</v>
      </c>
      <c r="AA313" s="61">
        <f t="shared" si="411"/>
        <v>1496.0004523749892</v>
      </c>
      <c r="AB313" s="61">
        <f t="shared" si="412"/>
        <v>299.20009047499781</v>
      </c>
      <c r="AC313" s="61">
        <v>2015.2214249096633</v>
      </c>
      <c r="AD313" s="61">
        <v>1200.2723974352318</v>
      </c>
      <c r="AE313" s="61">
        <v>709.80035330291662</v>
      </c>
      <c r="AF313" s="61">
        <v>0</v>
      </c>
      <c r="AG313" s="61">
        <f t="shared" si="413"/>
        <v>412.89612485549702</v>
      </c>
      <c r="AH313" s="64"/>
      <c r="AI313" s="64"/>
      <c r="AJ313" s="365">
        <v>13</v>
      </c>
      <c r="AK313" s="372" t="s">
        <v>66</v>
      </c>
      <c r="AL313" s="412">
        <v>16552</v>
      </c>
      <c r="AM313" s="372" t="s">
        <v>454</v>
      </c>
      <c r="AN313" s="378" t="s">
        <v>455</v>
      </c>
      <c r="AO313" s="368">
        <f t="shared" ref="AO313:AP313" si="419">Q313*3</f>
        <v>26928.008142749804</v>
      </c>
      <c r="AP313" s="368">
        <f t="shared" si="419"/>
        <v>8976.0027142499348</v>
      </c>
      <c r="AQ313" s="368">
        <f t="shared" ref="AQ313:AZ313" si="420">X313*3</f>
        <v>0</v>
      </c>
      <c r="AR313" s="368">
        <f t="shared" si="420"/>
        <v>1991.0359679999997</v>
      </c>
      <c r="AS313" s="368">
        <f t="shared" si="420"/>
        <v>0</v>
      </c>
      <c r="AT313" s="368">
        <f t="shared" si="420"/>
        <v>4488.0013571249674</v>
      </c>
      <c r="AU313" s="368">
        <f t="shared" si="420"/>
        <v>897.60027142499348</v>
      </c>
      <c r="AV313" s="368">
        <f t="shared" si="420"/>
        <v>6045.6642747289898</v>
      </c>
      <c r="AW313" s="368">
        <f t="shared" si="420"/>
        <v>3600.8171923056952</v>
      </c>
      <c r="AX313" s="368">
        <f t="shared" si="420"/>
        <v>2129.4010599087496</v>
      </c>
      <c r="AY313" s="368">
        <f t="shared" si="420"/>
        <v>0</v>
      </c>
      <c r="AZ313" s="368">
        <f t="shared" si="420"/>
        <v>1238.6883745664911</v>
      </c>
      <c r="BB313" s="64"/>
      <c r="BC313" s="66"/>
      <c r="BD313" s="66"/>
      <c r="BE313" s="66"/>
    </row>
    <row r="314" spans="1:177" s="96" customFormat="1" ht="21" customHeight="1" x14ac:dyDescent="0.2">
      <c r="A314" s="50"/>
      <c r="B314" s="455" t="s">
        <v>99</v>
      </c>
      <c r="C314" s="456"/>
      <c r="D314" s="456"/>
      <c r="E314" s="143">
        <v>13</v>
      </c>
      <c r="F314" s="88" t="s">
        <v>100</v>
      </c>
      <c r="G314" s="89"/>
      <c r="H314" s="89"/>
      <c r="I314" s="91">
        <f t="shared" ref="I314:AG314" si="421">SUM(I305:I313)</f>
        <v>50419.992762906375</v>
      </c>
      <c r="J314" s="91">
        <f t="shared" si="421"/>
        <v>17144.54</v>
      </c>
      <c r="K314" s="91">
        <f t="shared" si="421"/>
        <v>2883.9711763010278</v>
      </c>
      <c r="L314" s="91">
        <f t="shared" si="421"/>
        <v>64.745062314338767</v>
      </c>
      <c r="M314" s="91">
        <f t="shared" si="421"/>
        <v>8.8750000000000009E-3</v>
      </c>
      <c r="N314" s="91">
        <f t="shared" si="421"/>
        <v>4330.1295513640434</v>
      </c>
      <c r="O314" s="91">
        <f t="shared" si="421"/>
        <v>54750.122314270411</v>
      </c>
      <c r="P314" s="91">
        <f t="shared" si="421"/>
        <v>109500.24462854082</v>
      </c>
      <c r="Q314" s="91">
        <f t="shared" si="421"/>
        <v>82125.183471405617</v>
      </c>
      <c r="R314" s="91">
        <f t="shared" si="421"/>
        <v>27375.061157135206</v>
      </c>
      <c r="S314" s="91">
        <f t="shared" si="421"/>
        <v>3650.0081542846942</v>
      </c>
      <c r="T314" s="91">
        <f t="shared" si="421"/>
        <v>4189.8443603034002</v>
      </c>
      <c r="U314" s="91">
        <f t="shared" si="421"/>
        <v>41062.591735702808</v>
      </c>
      <c r="V314" s="91">
        <f t="shared" si="421"/>
        <v>13687.530578567603</v>
      </c>
      <c r="W314" s="91">
        <f t="shared" si="421"/>
        <v>0.05</v>
      </c>
      <c r="X314" s="91">
        <f t="shared" si="421"/>
        <v>531.87686294484899</v>
      </c>
      <c r="Y314" s="91">
        <f t="shared" si="421"/>
        <v>5774.5788120225461</v>
      </c>
      <c r="Z314" s="91">
        <f t="shared" si="421"/>
        <v>0</v>
      </c>
      <c r="AA314" s="91">
        <f t="shared" si="421"/>
        <v>13687.530578567603</v>
      </c>
      <c r="AB314" s="91">
        <f t="shared" si="421"/>
        <v>2737.5061157135206</v>
      </c>
      <c r="AC314" s="91">
        <f t="shared" si="421"/>
        <v>18356.159435106536</v>
      </c>
      <c r="AD314" s="91">
        <f t="shared" si="421"/>
        <v>10803.253560799019</v>
      </c>
      <c r="AE314" s="91">
        <f t="shared" si="421"/>
        <v>6494.2587584702705</v>
      </c>
      <c r="AF314" s="91">
        <f t="shared" si="421"/>
        <v>0</v>
      </c>
      <c r="AG314" s="91">
        <f t="shared" si="421"/>
        <v>3777.7584396846587</v>
      </c>
      <c r="AH314" s="92"/>
      <c r="AI314" s="92"/>
      <c r="AJ314" s="455" t="s">
        <v>99</v>
      </c>
      <c r="AK314" s="456"/>
      <c r="AL314" s="456"/>
      <c r="AM314" s="143">
        <v>13</v>
      </c>
      <c r="AN314" s="88" t="s">
        <v>100</v>
      </c>
      <c r="AO314" s="144">
        <f>SUM(AO305:AO313)</f>
        <v>696384.0067290517</v>
      </c>
      <c r="AP314" s="144">
        <f t="shared" ref="AP314:AZ314" si="422">SUM(AP305:AP313)</f>
        <v>232128.00224301725</v>
      </c>
      <c r="AQ314" s="144">
        <f t="shared" si="422"/>
        <v>6382.5223553381884</v>
      </c>
      <c r="AR314" s="144">
        <f t="shared" si="422"/>
        <v>44881.209570898951</v>
      </c>
      <c r="AS314" s="144">
        <f t="shared" si="422"/>
        <v>0</v>
      </c>
      <c r="AT314" s="144">
        <f t="shared" si="422"/>
        <v>116064.00112150863</v>
      </c>
      <c r="AU314" s="144">
        <f t="shared" si="422"/>
        <v>23212.800224301718</v>
      </c>
      <c r="AV314" s="144">
        <f t="shared" si="422"/>
        <v>158220.6104183812</v>
      </c>
      <c r="AW314" s="144">
        <f t="shared" si="422"/>
        <v>90978.115364087294</v>
      </c>
      <c r="AX314" s="144">
        <f t="shared" si="422"/>
        <v>55068.344980116948</v>
      </c>
      <c r="AY314" s="144">
        <f t="shared" si="422"/>
        <v>0</v>
      </c>
      <c r="AZ314" s="144">
        <f t="shared" si="422"/>
        <v>32033.66430953638</v>
      </c>
      <c r="BA314" s="94"/>
      <c r="BB314" s="92"/>
      <c r="BC314" s="95"/>
      <c r="BD314" s="95"/>
      <c r="BE314" s="95"/>
      <c r="BF314" s="50"/>
      <c r="BG314" s="50"/>
      <c r="BH314" s="50"/>
      <c r="BI314" s="50"/>
      <c r="BJ314" s="50"/>
      <c r="BK314" s="50"/>
      <c r="BL314" s="50"/>
      <c r="BM314" s="50"/>
      <c r="BN314" s="50"/>
      <c r="BO314" s="50"/>
      <c r="BP314" s="50"/>
      <c r="BQ314" s="50"/>
      <c r="BR314" s="50"/>
      <c r="BS314" s="50"/>
      <c r="BT314" s="50"/>
      <c r="BU314" s="50"/>
      <c r="BV314" s="50"/>
      <c r="BW314" s="50"/>
      <c r="BX314" s="50"/>
      <c r="BY314" s="50"/>
      <c r="BZ314" s="50"/>
      <c r="CA314" s="50"/>
      <c r="CB314" s="50"/>
      <c r="CC314" s="50"/>
      <c r="CD314" s="50"/>
      <c r="CE314" s="50"/>
      <c r="CF314" s="50"/>
      <c r="CG314" s="50"/>
      <c r="CH314" s="50"/>
      <c r="CI314" s="50"/>
      <c r="CJ314" s="50"/>
      <c r="CK314" s="50"/>
      <c r="CL314" s="50"/>
      <c r="CM314" s="50"/>
      <c r="CN314" s="50"/>
      <c r="CO314" s="50"/>
      <c r="CP314" s="50"/>
      <c r="CQ314" s="50"/>
      <c r="CR314" s="50"/>
      <c r="CS314" s="50"/>
      <c r="CT314" s="50"/>
      <c r="CU314" s="50"/>
      <c r="CV314" s="50"/>
      <c r="CW314" s="50"/>
      <c r="CX314" s="50"/>
      <c r="CY314" s="50"/>
      <c r="CZ314" s="50"/>
      <c r="DA314" s="50"/>
      <c r="DB314" s="50"/>
      <c r="DC314" s="50"/>
      <c r="DD314" s="50"/>
      <c r="DE314" s="50"/>
      <c r="DF314" s="50"/>
      <c r="DG314" s="50"/>
      <c r="DH314" s="50"/>
      <c r="DI314" s="50"/>
      <c r="DJ314" s="50"/>
      <c r="DK314" s="50"/>
      <c r="DL314" s="50"/>
      <c r="DM314" s="50"/>
      <c r="DN314" s="50"/>
      <c r="DO314" s="50"/>
      <c r="DP314" s="50"/>
      <c r="DQ314" s="50"/>
      <c r="DR314" s="50"/>
      <c r="DS314" s="50"/>
      <c r="DT314" s="50"/>
      <c r="DU314" s="50"/>
      <c r="DV314" s="50"/>
      <c r="DW314" s="50"/>
      <c r="DX314" s="50"/>
      <c r="DY314" s="50"/>
      <c r="DZ314" s="50"/>
      <c r="EA314" s="50"/>
      <c r="EB314" s="50"/>
      <c r="EC314" s="50"/>
      <c r="ED314" s="50"/>
      <c r="EE314" s="50"/>
      <c r="EF314" s="50"/>
      <c r="EG314" s="50"/>
      <c r="EH314" s="50"/>
      <c r="EI314" s="50"/>
      <c r="EJ314" s="50"/>
      <c r="EK314" s="50"/>
      <c r="EL314" s="50"/>
      <c r="EM314" s="50"/>
      <c r="EN314" s="50"/>
      <c r="EO314" s="50"/>
      <c r="EP314" s="50"/>
      <c r="EQ314" s="50"/>
      <c r="ER314" s="50"/>
      <c r="ES314" s="50"/>
      <c r="ET314" s="50"/>
      <c r="EU314" s="50"/>
      <c r="EV314" s="50"/>
      <c r="EW314" s="50"/>
      <c r="EX314" s="50"/>
      <c r="EY314" s="50"/>
      <c r="EZ314" s="50"/>
      <c r="FA314" s="50"/>
      <c r="FB314" s="50"/>
      <c r="FC314" s="50"/>
      <c r="FD314" s="50"/>
      <c r="FE314" s="50"/>
      <c r="FF314" s="50"/>
      <c r="FG314" s="50"/>
      <c r="FH314" s="50"/>
      <c r="FI314" s="50"/>
      <c r="FJ314" s="50"/>
      <c r="FK314" s="50"/>
      <c r="FL314" s="50"/>
      <c r="FM314" s="50"/>
      <c r="FN314" s="50"/>
      <c r="FO314" s="50"/>
      <c r="FP314" s="50"/>
      <c r="FQ314" s="50"/>
      <c r="FR314" s="50"/>
      <c r="FS314" s="50"/>
      <c r="FT314" s="50"/>
      <c r="FU314" s="50"/>
    </row>
    <row r="315" spans="1:177" ht="21" customHeight="1" x14ac:dyDescent="0.2">
      <c r="B315" s="457" t="s">
        <v>101</v>
      </c>
      <c r="C315" s="458"/>
      <c r="D315" s="458"/>
      <c r="E315" s="76">
        <v>12</v>
      </c>
      <c r="F315" s="199" t="s">
        <v>456</v>
      </c>
      <c r="G315" s="147"/>
      <c r="H315" s="147"/>
      <c r="I315" s="57">
        <f t="shared" ref="I315:AG315" si="423">I304+I314</f>
        <v>67455.192762906372</v>
      </c>
      <c r="J315" s="57">
        <f t="shared" si="423"/>
        <v>17144.54</v>
      </c>
      <c r="K315" s="57">
        <f t="shared" si="423"/>
        <v>2883.9711763010278</v>
      </c>
      <c r="L315" s="74">
        <f t="shared" si="423"/>
        <v>64.745062314338767</v>
      </c>
      <c r="M315" s="57">
        <f t="shared" si="423"/>
        <v>1.0075000000000001E-2</v>
      </c>
      <c r="N315" s="57">
        <f t="shared" si="423"/>
        <v>5011.5375513640438</v>
      </c>
      <c r="O315" s="57">
        <f t="shared" si="423"/>
        <v>72466.730314270419</v>
      </c>
      <c r="P315" s="57">
        <f t="shared" si="423"/>
        <v>171540.74180013256</v>
      </c>
      <c r="Q315" s="57">
        <f t="shared" si="423"/>
        <v>128655.5563500994</v>
      </c>
      <c r="R315" s="57">
        <f t="shared" si="423"/>
        <v>42885.185450033139</v>
      </c>
      <c r="S315" s="57">
        <f t="shared" si="423"/>
        <v>5718.0247266710849</v>
      </c>
      <c r="T315" s="57">
        <f t="shared" si="423"/>
        <v>6563.7205837457377</v>
      </c>
      <c r="U315" s="81">
        <f t="shared" si="423"/>
        <v>64327.778175049702</v>
      </c>
      <c r="V315" s="57">
        <f t="shared" si="423"/>
        <v>21442.59272501657</v>
      </c>
      <c r="W315" s="57">
        <f t="shared" si="423"/>
        <v>0.05</v>
      </c>
      <c r="X315" s="57">
        <f t="shared" si="423"/>
        <v>531.87686294484899</v>
      </c>
      <c r="Y315" s="57">
        <f t="shared" si="423"/>
        <v>10343.40952131154</v>
      </c>
      <c r="Z315" s="57">
        <f t="shared" si="423"/>
        <v>0</v>
      </c>
      <c r="AA315" s="57">
        <f t="shared" si="423"/>
        <v>21442.59272501657</v>
      </c>
      <c r="AB315" s="57">
        <f t="shared" si="423"/>
        <v>4288.5185450033132</v>
      </c>
      <c r="AC315" s="57">
        <f t="shared" si="423"/>
        <v>28153.560846720906</v>
      </c>
      <c r="AD315" s="57">
        <f t="shared" si="423"/>
        <v>17025.301836252558</v>
      </c>
      <c r="AE315" s="57">
        <f t="shared" si="423"/>
        <v>10173.766904805894</v>
      </c>
      <c r="AF315" s="57">
        <f t="shared" si="423"/>
        <v>0</v>
      </c>
      <c r="AG315" s="57">
        <f t="shared" si="423"/>
        <v>5699.1707954268231</v>
      </c>
      <c r="AH315" s="92">
        <f>Q315+R315-Y315+Z315+X315+AA315+AB315+AC315+AD315+AE315+AF315+AG315</f>
        <v>248512.12079499193</v>
      </c>
      <c r="AI315" s="92">
        <f>AH315*12</f>
        <v>2982145.4495399031</v>
      </c>
      <c r="AJ315" s="457" t="s">
        <v>101</v>
      </c>
      <c r="AK315" s="458"/>
      <c r="AL315" s="458"/>
      <c r="AM315" s="76">
        <v>12</v>
      </c>
      <c r="AN315" s="199" t="s">
        <v>456</v>
      </c>
      <c r="AO315" s="148">
        <f t="shared" ref="AO315:AZ315" si="424">AO304+AO314</f>
        <v>1075149.333365133</v>
      </c>
      <c r="AP315" s="148">
        <f t="shared" si="424"/>
        <v>358383.11112171103</v>
      </c>
      <c r="AQ315" s="148">
        <f t="shared" si="424"/>
        <v>6382.5223553381884</v>
      </c>
      <c r="AR315" s="148">
        <f t="shared" si="424"/>
        <v>76159.915657165926</v>
      </c>
      <c r="AS315" s="148">
        <f t="shared" si="424"/>
        <v>0</v>
      </c>
      <c r="AT315" s="148">
        <f t="shared" si="424"/>
        <v>179191.55556085552</v>
      </c>
      <c r="AU315" s="148">
        <f t="shared" si="424"/>
        <v>35838.311112171097</v>
      </c>
      <c r="AV315" s="148">
        <f t="shared" si="424"/>
        <v>241504.47964989935</v>
      </c>
      <c r="AW315" s="148">
        <f t="shared" si="424"/>
        <v>141626.67030994192</v>
      </c>
      <c r="AX315" s="148">
        <f t="shared" si="424"/>
        <v>85020.181139699824</v>
      </c>
      <c r="AY315" s="148">
        <f t="shared" si="424"/>
        <v>0</v>
      </c>
      <c r="AZ315" s="148">
        <f t="shared" si="424"/>
        <v>46829.051774663123</v>
      </c>
      <c r="BA315" s="94"/>
      <c r="BB315" s="92">
        <f>AO315+AP315+AQ315-AR315+AS315+AU315+AV315+AT315+AW315+AX315+AY315+AZ315</f>
        <v>2093765.3007322471</v>
      </c>
      <c r="BC315" s="95"/>
      <c r="BD315" s="95"/>
      <c r="BE315" s="95"/>
    </row>
    <row r="316" spans="1:177" ht="21" customHeight="1" x14ac:dyDescent="0.2">
      <c r="B316" s="457" t="s">
        <v>103</v>
      </c>
      <c r="C316" s="458"/>
      <c r="D316" s="458"/>
      <c r="E316" s="76">
        <f>E314-E315</f>
        <v>1</v>
      </c>
      <c r="F316" s="76"/>
      <c r="G316" s="484"/>
      <c r="H316" s="479"/>
      <c r="I316" s="479"/>
      <c r="J316" s="479"/>
      <c r="K316" s="479"/>
      <c r="L316" s="479"/>
      <c r="M316" s="479"/>
      <c r="N316" s="479"/>
      <c r="O316" s="479"/>
      <c r="P316" s="479"/>
      <c r="Q316" s="479"/>
      <c r="R316" s="479"/>
      <c r="S316" s="479"/>
      <c r="T316" s="479"/>
      <c r="U316" s="479"/>
      <c r="V316" s="479"/>
      <c r="W316" s="479"/>
      <c r="X316" s="479"/>
      <c r="Y316" s="479"/>
      <c r="Z316" s="479"/>
      <c r="AA316" s="479"/>
      <c r="AB316" s="479"/>
      <c r="AC316" s="479"/>
      <c r="AD316" s="479"/>
      <c r="AE316" s="479"/>
      <c r="AF316" s="479"/>
      <c r="AG316" s="480"/>
      <c r="AH316" s="92"/>
      <c r="AI316" s="92"/>
      <c r="AJ316" s="457" t="s">
        <v>103</v>
      </c>
      <c r="AK316" s="458"/>
      <c r="AL316" s="458"/>
      <c r="AM316" s="76">
        <f>AM314-AM315</f>
        <v>1</v>
      </c>
      <c r="AN316" s="76"/>
      <c r="AO316" s="481"/>
      <c r="AP316" s="482"/>
      <c r="AQ316" s="482"/>
      <c r="AR316" s="482"/>
      <c r="AS316" s="482"/>
      <c r="AT316" s="482"/>
      <c r="AU316" s="482"/>
      <c r="AV316" s="482"/>
      <c r="AW316" s="482"/>
      <c r="AX316" s="482"/>
      <c r="AY316" s="482"/>
      <c r="AZ316" s="483"/>
      <c r="BA316" s="152"/>
      <c r="BB316" s="92"/>
      <c r="BC316" s="95"/>
      <c r="BD316" s="95"/>
      <c r="BE316" s="95"/>
    </row>
    <row r="317" spans="1:177" ht="21" customHeight="1" x14ac:dyDescent="0.2">
      <c r="B317" s="5"/>
      <c r="C317" s="94"/>
      <c r="D317" s="5"/>
      <c r="E317" s="94"/>
      <c r="G317" s="27"/>
      <c r="H317" s="27"/>
      <c r="I317" s="95"/>
      <c r="J317" s="95"/>
      <c r="K317" s="95"/>
      <c r="L317" s="27"/>
      <c r="M317" s="128"/>
      <c r="N317" s="66"/>
      <c r="O317" s="95"/>
      <c r="P317" s="66"/>
      <c r="Q317" s="66"/>
      <c r="R317" s="66"/>
      <c r="S317" s="66"/>
      <c r="T317" s="95"/>
      <c r="U317" s="66"/>
      <c r="V317" s="95"/>
      <c r="W317" s="129"/>
      <c r="X317" s="130"/>
      <c r="Y317" s="66"/>
      <c r="Z317" s="66"/>
      <c r="AA317" s="66"/>
      <c r="AB317" s="66"/>
      <c r="AC317" s="66"/>
      <c r="AD317" s="66"/>
      <c r="AE317" s="66"/>
      <c r="AF317" s="66"/>
      <c r="AG317" s="66"/>
      <c r="AH317" s="64"/>
      <c r="AI317" s="64"/>
      <c r="AJ317" s="5"/>
      <c r="AK317" s="94"/>
      <c r="AL317" s="5"/>
      <c r="AM317" s="94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2"/>
      <c r="BB317" s="92"/>
      <c r="BC317" s="95"/>
      <c r="BD317" s="95"/>
      <c r="BE317" s="95"/>
    </row>
    <row r="318" spans="1:177" ht="21" customHeight="1" thickBot="1" x14ac:dyDescent="0.25">
      <c r="B318" s="5"/>
      <c r="C318" s="94"/>
      <c r="D318" s="5"/>
      <c r="E318" s="94"/>
      <c r="G318" s="27"/>
      <c r="H318" s="27"/>
      <c r="I318" s="95"/>
      <c r="J318" s="95"/>
      <c r="K318" s="95"/>
      <c r="L318" s="27"/>
      <c r="M318" s="128"/>
      <c r="N318" s="66"/>
      <c r="O318" s="95"/>
      <c r="P318" s="66"/>
      <c r="Q318" s="66"/>
      <c r="R318" s="66"/>
      <c r="S318" s="66"/>
      <c r="T318" s="95"/>
      <c r="U318" s="66"/>
      <c r="V318" s="95"/>
      <c r="W318" s="129"/>
      <c r="X318" s="130"/>
      <c r="Y318" s="66"/>
      <c r="Z318" s="66"/>
      <c r="AA318" s="66"/>
      <c r="AB318" s="66"/>
      <c r="AC318" s="66"/>
      <c r="AD318" s="66"/>
      <c r="AE318" s="66"/>
      <c r="AF318" s="66"/>
      <c r="AG318" s="66"/>
      <c r="AH318" s="64"/>
      <c r="AI318" s="64"/>
      <c r="AJ318" s="5"/>
      <c r="AK318" s="94"/>
      <c r="AL318" s="5"/>
      <c r="AM318" s="94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2"/>
      <c r="BB318" s="92"/>
      <c r="BC318" s="95"/>
      <c r="BD318" s="95"/>
      <c r="BE318" s="95"/>
    </row>
    <row r="319" spans="1:177" s="134" customFormat="1" ht="21" customHeight="1" thickBot="1" x14ac:dyDescent="0.25">
      <c r="A319" s="94"/>
      <c r="B319" s="476" t="s">
        <v>457</v>
      </c>
      <c r="C319" s="477"/>
      <c r="D319" s="477"/>
      <c r="E319" s="478"/>
      <c r="F319" s="466" t="s">
        <v>4</v>
      </c>
      <c r="G319" s="7" t="s">
        <v>5</v>
      </c>
      <c r="H319" s="8" t="s">
        <v>6</v>
      </c>
      <c r="I319" s="9" t="s">
        <v>7</v>
      </c>
      <c r="J319" s="9"/>
      <c r="K319" s="9"/>
      <c r="L319" s="9"/>
      <c r="M319" s="10">
        <v>4.0000000000000002E-4</v>
      </c>
      <c r="N319" s="11" t="s">
        <v>8</v>
      </c>
      <c r="O319" s="12" t="s">
        <v>9</v>
      </c>
      <c r="P319" s="12" t="s">
        <v>10</v>
      </c>
      <c r="Q319" s="13" t="s">
        <v>11</v>
      </c>
      <c r="R319" s="12" t="s">
        <v>12</v>
      </c>
      <c r="S319" s="14" t="s">
        <v>11</v>
      </c>
      <c r="T319" s="15" t="s">
        <v>13</v>
      </c>
      <c r="U319" s="16" t="s">
        <v>11</v>
      </c>
      <c r="V319" s="17" t="s">
        <v>12</v>
      </c>
      <c r="W319" s="18" t="s">
        <v>14</v>
      </c>
      <c r="X319" s="19" t="s">
        <v>15</v>
      </c>
      <c r="Y319" s="15" t="s">
        <v>16</v>
      </c>
      <c r="Z319" s="13" t="s">
        <v>17</v>
      </c>
      <c r="AA319" s="20" t="s">
        <v>18</v>
      </c>
      <c r="AB319" s="17" t="s">
        <v>19</v>
      </c>
      <c r="AC319" s="13" t="s">
        <v>20</v>
      </c>
      <c r="AD319" s="13" t="s">
        <v>21</v>
      </c>
      <c r="AE319" s="13" t="s">
        <v>22</v>
      </c>
      <c r="AF319" s="17" t="s">
        <v>23</v>
      </c>
      <c r="AG319" s="12" t="s">
        <v>24</v>
      </c>
      <c r="AH319" s="132"/>
      <c r="AI319" s="132"/>
      <c r="AJ319" s="476" t="s">
        <v>457</v>
      </c>
      <c r="AK319" s="477"/>
      <c r="AL319" s="477"/>
      <c r="AM319" s="478"/>
      <c r="AN319" s="466" t="s">
        <v>4</v>
      </c>
      <c r="AO319" s="133" t="s">
        <v>11</v>
      </c>
      <c r="AP319" s="12" t="s">
        <v>12</v>
      </c>
      <c r="AQ319" s="23" t="s">
        <v>15</v>
      </c>
      <c r="AR319" s="22" t="s">
        <v>16</v>
      </c>
      <c r="AS319" s="22" t="s">
        <v>25</v>
      </c>
      <c r="AT319" s="20" t="s">
        <v>26</v>
      </c>
      <c r="AU319" s="24" t="s">
        <v>27</v>
      </c>
      <c r="AV319" s="23" t="s">
        <v>20</v>
      </c>
      <c r="AW319" s="22" t="s">
        <v>28</v>
      </c>
      <c r="AX319" s="22" t="s">
        <v>29</v>
      </c>
      <c r="AY319" s="25" t="s">
        <v>23</v>
      </c>
      <c r="AZ319" s="24" t="s">
        <v>24</v>
      </c>
      <c r="BA319" s="94"/>
      <c r="BB319" s="92"/>
      <c r="BC319" s="95"/>
      <c r="BD319" s="95"/>
      <c r="BE319" s="95"/>
      <c r="BF319" s="94"/>
      <c r="BG319" s="94"/>
      <c r="BH319" s="94"/>
      <c r="BI319" s="94"/>
      <c r="BJ319" s="94"/>
      <c r="BK319" s="94"/>
      <c r="BL319" s="94"/>
      <c r="BM319" s="94"/>
      <c r="BN319" s="94"/>
      <c r="BO319" s="94"/>
      <c r="BP319" s="94"/>
      <c r="BQ319" s="94"/>
      <c r="BR319" s="94"/>
      <c r="BS319" s="94"/>
      <c r="BT319" s="94"/>
      <c r="BU319" s="94"/>
      <c r="BV319" s="94"/>
      <c r="BW319" s="94"/>
      <c r="BX319" s="94"/>
      <c r="BY319" s="94"/>
      <c r="BZ319" s="94"/>
      <c r="CA319" s="94"/>
      <c r="CB319" s="94"/>
      <c r="CC319" s="94"/>
      <c r="CD319" s="94"/>
      <c r="CE319" s="94"/>
      <c r="CF319" s="94"/>
      <c r="CG319" s="94"/>
      <c r="CH319" s="94"/>
      <c r="CI319" s="94"/>
      <c r="CJ319" s="94"/>
      <c r="CK319" s="94"/>
      <c r="CL319" s="94"/>
      <c r="CM319" s="94"/>
      <c r="CN319" s="94"/>
      <c r="CO319" s="94"/>
      <c r="CP319" s="94"/>
      <c r="CQ319" s="94"/>
      <c r="CR319" s="94"/>
      <c r="CS319" s="94"/>
      <c r="CT319" s="94"/>
      <c r="CU319" s="94"/>
      <c r="CV319" s="94"/>
      <c r="CW319" s="94"/>
      <c r="CX319" s="94"/>
      <c r="CY319" s="94"/>
      <c r="CZ319" s="94"/>
      <c r="DA319" s="94"/>
      <c r="DB319" s="94"/>
      <c r="DC319" s="94"/>
      <c r="DD319" s="94"/>
      <c r="DE319" s="94"/>
      <c r="DF319" s="94"/>
      <c r="DG319" s="94"/>
      <c r="DH319" s="94"/>
      <c r="DI319" s="94"/>
      <c r="DJ319" s="94"/>
      <c r="DK319" s="94"/>
      <c r="DL319" s="94"/>
      <c r="DM319" s="94"/>
      <c r="DN319" s="94"/>
      <c r="DO319" s="94"/>
      <c r="DP319" s="94"/>
      <c r="DQ319" s="94"/>
      <c r="DR319" s="94"/>
      <c r="DS319" s="94"/>
      <c r="DT319" s="94"/>
      <c r="DU319" s="94"/>
      <c r="DV319" s="94"/>
      <c r="DW319" s="94"/>
      <c r="DX319" s="94"/>
      <c r="DY319" s="94"/>
      <c r="DZ319" s="94"/>
      <c r="EA319" s="94"/>
      <c r="EB319" s="94"/>
      <c r="EC319" s="94"/>
      <c r="ED319" s="94"/>
      <c r="EE319" s="94"/>
      <c r="EF319" s="94"/>
      <c r="EG319" s="94"/>
      <c r="EH319" s="94"/>
      <c r="EI319" s="94"/>
      <c r="EJ319" s="94"/>
      <c r="EK319" s="94"/>
      <c r="EL319" s="94"/>
      <c r="EM319" s="94"/>
      <c r="EN319" s="94"/>
      <c r="EO319" s="94"/>
      <c r="EP319" s="94"/>
      <c r="EQ319" s="94"/>
      <c r="ER319" s="94"/>
      <c r="ES319" s="94"/>
      <c r="ET319" s="94"/>
      <c r="EU319" s="94"/>
      <c r="EV319" s="94"/>
      <c r="EW319" s="94"/>
      <c r="EX319" s="94"/>
      <c r="EY319" s="94"/>
      <c r="EZ319" s="94"/>
      <c r="FA319" s="94"/>
      <c r="FB319" s="94"/>
      <c r="FC319" s="94"/>
      <c r="FD319" s="94"/>
      <c r="FE319" s="94"/>
      <c r="FF319" s="94"/>
      <c r="FG319" s="94"/>
      <c r="FH319" s="94"/>
      <c r="FI319" s="94"/>
      <c r="FJ319" s="94"/>
      <c r="FK319" s="94"/>
      <c r="FL319" s="94"/>
      <c r="FM319" s="94"/>
      <c r="FN319" s="94"/>
      <c r="FO319" s="94"/>
      <c r="FP319" s="94"/>
      <c r="FQ319" s="94"/>
      <c r="FR319" s="94"/>
      <c r="FS319" s="94"/>
      <c r="FT319" s="94"/>
      <c r="FU319" s="94"/>
    </row>
    <row r="320" spans="1:177" s="134" customFormat="1" ht="21" customHeight="1" thickBot="1" x14ac:dyDescent="0.25">
      <c r="A320" s="94"/>
      <c r="B320" s="30" t="s">
        <v>30</v>
      </c>
      <c r="C320" s="6" t="s">
        <v>31</v>
      </c>
      <c r="D320" s="30" t="s">
        <v>105</v>
      </c>
      <c r="E320" s="32" t="s">
        <v>32</v>
      </c>
      <c r="F320" s="467"/>
      <c r="G320" s="33" t="s">
        <v>33</v>
      </c>
      <c r="H320" s="34">
        <v>45657</v>
      </c>
      <c r="I320" s="35">
        <v>2023</v>
      </c>
      <c r="J320" s="35"/>
      <c r="K320" s="35"/>
      <c r="L320" s="35"/>
      <c r="M320" s="36"/>
      <c r="N320" s="37"/>
      <c r="O320" s="38">
        <v>2024</v>
      </c>
      <c r="P320" s="39" t="s">
        <v>34</v>
      </c>
      <c r="Q320" s="40" t="s">
        <v>35</v>
      </c>
      <c r="R320" s="39" t="s">
        <v>36</v>
      </c>
      <c r="S320" s="41" t="s">
        <v>37</v>
      </c>
      <c r="T320" s="42" t="s">
        <v>38</v>
      </c>
      <c r="U320" s="43" t="s">
        <v>39</v>
      </c>
      <c r="V320" s="41" t="s">
        <v>39</v>
      </c>
      <c r="W320" s="44" t="s">
        <v>15</v>
      </c>
      <c r="X320" s="45" t="s">
        <v>35</v>
      </c>
      <c r="Y320" s="42" t="s">
        <v>35</v>
      </c>
      <c r="Z320" s="40" t="s">
        <v>35</v>
      </c>
      <c r="AA320" s="46" t="s">
        <v>35</v>
      </c>
      <c r="AB320" s="41" t="s">
        <v>35</v>
      </c>
      <c r="AC320" s="40" t="s">
        <v>35</v>
      </c>
      <c r="AD320" s="40" t="s">
        <v>35</v>
      </c>
      <c r="AE320" s="40" t="s">
        <v>35</v>
      </c>
      <c r="AF320" s="41" t="s">
        <v>35</v>
      </c>
      <c r="AG320" s="40" t="s">
        <v>35</v>
      </c>
      <c r="AH320" s="135"/>
      <c r="AI320" s="135"/>
      <c r="AJ320" s="30" t="s">
        <v>30</v>
      </c>
      <c r="AK320" s="6" t="s">
        <v>31</v>
      </c>
      <c r="AL320" s="30" t="s">
        <v>105</v>
      </c>
      <c r="AM320" s="32" t="s">
        <v>32</v>
      </c>
      <c r="AN320" s="467"/>
      <c r="AO320" s="46" t="s">
        <v>40</v>
      </c>
      <c r="AP320" s="39" t="s">
        <v>41</v>
      </c>
      <c r="AQ320" s="48" t="s">
        <v>40</v>
      </c>
      <c r="AR320" s="49" t="s">
        <v>40</v>
      </c>
      <c r="AS320" s="49" t="s">
        <v>40</v>
      </c>
      <c r="AT320" s="46" t="s">
        <v>40</v>
      </c>
      <c r="AU320" s="49" t="s">
        <v>40</v>
      </c>
      <c r="AV320" s="48" t="s">
        <v>40</v>
      </c>
      <c r="AW320" s="49" t="s">
        <v>40</v>
      </c>
      <c r="AX320" s="49" t="s">
        <v>40</v>
      </c>
      <c r="AY320" s="48" t="s">
        <v>40</v>
      </c>
      <c r="AZ320" s="49" t="s">
        <v>40</v>
      </c>
      <c r="BA320" s="94"/>
      <c r="BB320" s="92"/>
      <c r="BC320" s="95"/>
      <c r="BD320" s="95"/>
      <c r="BE320" s="95"/>
      <c r="BF320" s="94"/>
      <c r="BG320" s="94"/>
      <c r="BH320" s="94"/>
      <c r="BI320" s="94"/>
      <c r="BJ320" s="94"/>
      <c r="BK320" s="94"/>
      <c r="BL320" s="94"/>
      <c r="BM320" s="94"/>
      <c r="BN320" s="94"/>
      <c r="BO320" s="94"/>
      <c r="BP320" s="94"/>
      <c r="BQ320" s="94"/>
      <c r="BR320" s="94"/>
      <c r="BS320" s="94"/>
      <c r="BT320" s="94"/>
      <c r="BU320" s="94"/>
      <c r="BV320" s="94"/>
      <c r="BW320" s="94"/>
      <c r="BX320" s="94"/>
      <c r="BY320" s="94"/>
      <c r="BZ320" s="94"/>
      <c r="CA320" s="94"/>
      <c r="CB320" s="94"/>
      <c r="CC320" s="94"/>
      <c r="CD320" s="94"/>
      <c r="CE320" s="94"/>
      <c r="CF320" s="94"/>
      <c r="CG320" s="94"/>
      <c r="CH320" s="94"/>
      <c r="CI320" s="94"/>
      <c r="CJ320" s="94"/>
      <c r="CK320" s="94"/>
      <c r="CL320" s="94"/>
      <c r="CM320" s="94"/>
      <c r="CN320" s="94"/>
      <c r="CO320" s="94"/>
      <c r="CP320" s="94"/>
      <c r="CQ320" s="94"/>
      <c r="CR320" s="94"/>
      <c r="CS320" s="94"/>
      <c r="CT320" s="94"/>
      <c r="CU320" s="94"/>
      <c r="CV320" s="94"/>
      <c r="CW320" s="94"/>
      <c r="CX320" s="94"/>
      <c r="CY320" s="94"/>
      <c r="CZ320" s="94"/>
      <c r="DA320" s="94"/>
      <c r="DB320" s="94"/>
      <c r="DC320" s="94"/>
      <c r="DD320" s="94"/>
      <c r="DE320" s="94"/>
      <c r="DF320" s="94"/>
      <c r="DG320" s="94"/>
      <c r="DH320" s="94"/>
      <c r="DI320" s="94"/>
      <c r="DJ320" s="94"/>
      <c r="DK320" s="94"/>
      <c r="DL320" s="94"/>
      <c r="DM320" s="94"/>
      <c r="DN320" s="94"/>
      <c r="DO320" s="94"/>
      <c r="DP320" s="94"/>
      <c r="DQ320" s="94"/>
      <c r="DR320" s="94"/>
      <c r="DS320" s="94"/>
      <c r="DT320" s="94"/>
      <c r="DU320" s="94"/>
      <c r="DV320" s="94"/>
      <c r="DW320" s="94"/>
      <c r="DX320" s="94"/>
      <c r="DY320" s="94"/>
      <c r="DZ320" s="94"/>
      <c r="EA320" s="94"/>
      <c r="EB320" s="94"/>
      <c r="EC320" s="94"/>
      <c r="ED320" s="94"/>
      <c r="EE320" s="94"/>
      <c r="EF320" s="94"/>
      <c r="EG320" s="94"/>
      <c r="EH320" s="94"/>
      <c r="EI320" s="94"/>
      <c r="EJ320" s="94"/>
      <c r="EK320" s="94"/>
      <c r="EL320" s="94"/>
      <c r="EM320" s="94"/>
      <c r="EN320" s="94"/>
      <c r="EO320" s="94"/>
      <c r="EP320" s="94"/>
      <c r="EQ320" s="94"/>
      <c r="ER320" s="94"/>
      <c r="ES320" s="94"/>
      <c r="ET320" s="94"/>
      <c r="EU320" s="94"/>
      <c r="EV320" s="94"/>
      <c r="EW320" s="94"/>
      <c r="EX320" s="94"/>
      <c r="EY320" s="94"/>
      <c r="EZ320" s="94"/>
      <c r="FA320" s="94"/>
      <c r="FB320" s="94"/>
      <c r="FC320" s="94"/>
      <c r="FD320" s="94"/>
      <c r="FE320" s="94"/>
      <c r="FF320" s="94"/>
      <c r="FG320" s="94"/>
      <c r="FH320" s="94"/>
      <c r="FI320" s="94"/>
      <c r="FJ320" s="94"/>
      <c r="FK320" s="94"/>
      <c r="FL320" s="94"/>
      <c r="FM320" s="94"/>
      <c r="FN320" s="94"/>
      <c r="FO320" s="94"/>
      <c r="FP320" s="94"/>
      <c r="FQ320" s="94"/>
      <c r="FR320" s="94"/>
      <c r="FS320" s="94"/>
      <c r="FT320" s="94"/>
      <c r="FU320" s="94"/>
    </row>
    <row r="321" spans="1:177" ht="21" customHeight="1" x14ac:dyDescent="0.2">
      <c r="B321" s="51">
        <v>1</v>
      </c>
      <c r="C321" s="77" t="s">
        <v>42</v>
      </c>
      <c r="D321" s="51">
        <v>23001</v>
      </c>
      <c r="E321" s="53" t="s">
        <v>458</v>
      </c>
      <c r="F321" s="72" t="s">
        <v>459</v>
      </c>
      <c r="G321" s="55">
        <v>41701</v>
      </c>
      <c r="H321" s="56" t="str">
        <f xml:space="preserve"> CONCATENATE(DATEDIF(G321,H$5,"Y")," AÑOS")</f>
        <v>10 AÑOS</v>
      </c>
      <c r="I321" s="57">
        <v>12182.533485658967</v>
      </c>
      <c r="J321" s="58"/>
      <c r="K321" s="58"/>
      <c r="L321" s="59"/>
      <c r="M321" s="60">
        <v>4.0000000000000002E-4</v>
      </c>
      <c r="N321" s="61">
        <f>I321*0.04</f>
        <v>487.30133942635871</v>
      </c>
      <c r="O321" s="58">
        <f>I321+N321</f>
        <v>12669.834825085325</v>
      </c>
      <c r="P321" s="61">
        <f t="shared" ref="P321:P324" si="425">O321*2</f>
        <v>25339.66965017065</v>
      </c>
      <c r="Q321" s="61">
        <f t="shared" ref="Q321:Q324" si="426">P321*0.75</f>
        <v>19004.752237627989</v>
      </c>
      <c r="R321" s="61">
        <f t="shared" ref="R321:R324" si="427">P321*0.25</f>
        <v>6334.9174125426625</v>
      </c>
      <c r="S321" s="61">
        <f t="shared" ref="S321:S324" si="428">(P321/30)</f>
        <v>844.65565500568835</v>
      </c>
      <c r="T321" s="58">
        <f t="shared" ref="T321:T370" si="429">S321*1.1479</f>
        <v>969.58022638102955</v>
      </c>
      <c r="U321" s="61">
        <f t="shared" ref="U321:U324" si="430">O321*0.75</f>
        <v>9502.3761188139943</v>
      </c>
      <c r="V321" s="58">
        <f t="shared" ref="V321:V324" si="431">O321*0.25</f>
        <v>3167.4587062713313</v>
      </c>
      <c r="W321" s="62">
        <v>0</v>
      </c>
      <c r="X321" s="63">
        <f>P321*W321</f>
        <v>0</v>
      </c>
      <c r="Y321" s="61">
        <v>2413.2911259573384</v>
      </c>
      <c r="Z321" s="61">
        <v>0</v>
      </c>
      <c r="AA321" s="61">
        <f>(S321*45)/12</f>
        <v>3167.4587062713313</v>
      </c>
      <c r="AB321" s="61">
        <f>(S321*10)*(0.45*2)/12</f>
        <v>633.49174125426623</v>
      </c>
      <c r="AC321" s="61">
        <v>3654.0777976985396</v>
      </c>
      <c r="AD321" s="61">
        <v>2541.3182523559976</v>
      </c>
      <c r="AE321" s="61">
        <v>1502.8493508905958</v>
      </c>
      <c r="AF321" s="61">
        <v>0</v>
      </c>
      <c r="AG321" s="61">
        <f>(P321+AA321+AB321)*0.03</f>
        <v>874.21860293088741</v>
      </c>
      <c r="AH321" s="64"/>
      <c r="AI321" s="64"/>
      <c r="AJ321" s="51">
        <v>1</v>
      </c>
      <c r="AK321" s="77" t="s">
        <v>42</v>
      </c>
      <c r="AL321" s="51">
        <v>23001</v>
      </c>
      <c r="AM321" s="53" t="s">
        <v>458</v>
      </c>
      <c r="AN321" s="72" t="s">
        <v>459</v>
      </c>
      <c r="AO321" s="138">
        <f>Q321*12</f>
        <v>228057.02685153586</v>
      </c>
      <c r="AP321" s="65">
        <f>R321*12</f>
        <v>76019.008950511954</v>
      </c>
      <c r="AQ321" s="65">
        <f t="shared" ref="AQ321:AZ321" si="432">X321*12</f>
        <v>0</v>
      </c>
      <c r="AR321" s="65">
        <f t="shared" si="432"/>
        <v>28959.493511488061</v>
      </c>
      <c r="AS321" s="65">
        <f t="shared" si="432"/>
        <v>0</v>
      </c>
      <c r="AT321" s="65">
        <f t="shared" si="432"/>
        <v>38009.504475255977</v>
      </c>
      <c r="AU321" s="65">
        <f t="shared" si="432"/>
        <v>7601.9008950511943</v>
      </c>
      <c r="AV321" s="65">
        <f t="shared" si="432"/>
        <v>43848.933572382477</v>
      </c>
      <c r="AW321" s="65">
        <f t="shared" si="432"/>
        <v>30495.819028271973</v>
      </c>
      <c r="AX321" s="65">
        <f t="shared" si="432"/>
        <v>18034.19221068715</v>
      </c>
      <c r="AY321" s="65">
        <f t="shared" si="432"/>
        <v>0</v>
      </c>
      <c r="AZ321" s="65">
        <f t="shared" si="432"/>
        <v>10490.623235170649</v>
      </c>
      <c r="BB321" s="64"/>
      <c r="BC321" s="66"/>
      <c r="BD321" s="66"/>
      <c r="BE321" s="66"/>
    </row>
    <row r="322" spans="1:177" s="237" customFormat="1" ht="21" customHeight="1" x14ac:dyDescent="0.2">
      <c r="A322" s="50"/>
      <c r="B322" s="491" t="s">
        <v>65</v>
      </c>
      <c r="C322" s="492"/>
      <c r="D322" s="492"/>
      <c r="E322" s="492"/>
      <c r="F322" s="493"/>
      <c r="G322" s="232"/>
      <c r="H322" s="233"/>
      <c r="I322" s="234">
        <f>SUM(I321)</f>
        <v>12182.533485658967</v>
      </c>
      <c r="J322" s="234">
        <f t="shared" ref="J322:AG322" si="433">SUM(J321)</f>
        <v>0</v>
      </c>
      <c r="K322" s="234">
        <f t="shared" si="433"/>
        <v>0</v>
      </c>
      <c r="L322" s="235">
        <f t="shared" si="433"/>
        <v>0</v>
      </c>
      <c r="M322" s="234">
        <f t="shared" si="433"/>
        <v>4.0000000000000002E-4</v>
      </c>
      <c r="N322" s="234">
        <f t="shared" si="433"/>
        <v>487.30133942635871</v>
      </c>
      <c r="O322" s="234">
        <f t="shared" si="433"/>
        <v>12669.834825085325</v>
      </c>
      <c r="P322" s="234">
        <f t="shared" si="433"/>
        <v>25339.66965017065</v>
      </c>
      <c r="Q322" s="234">
        <f t="shared" si="433"/>
        <v>19004.752237627989</v>
      </c>
      <c r="R322" s="234">
        <f t="shared" si="433"/>
        <v>6334.9174125426625</v>
      </c>
      <c r="S322" s="234">
        <f t="shared" si="433"/>
        <v>844.65565500568835</v>
      </c>
      <c r="T322" s="234">
        <f t="shared" si="433"/>
        <v>969.58022638102955</v>
      </c>
      <c r="U322" s="236">
        <f t="shared" si="433"/>
        <v>9502.3761188139943</v>
      </c>
      <c r="V322" s="234">
        <f t="shared" si="433"/>
        <v>3167.4587062713313</v>
      </c>
      <c r="W322" s="234">
        <f t="shared" si="433"/>
        <v>0</v>
      </c>
      <c r="X322" s="234">
        <f t="shared" si="433"/>
        <v>0</v>
      </c>
      <c r="Y322" s="234">
        <f t="shared" si="433"/>
        <v>2413.2911259573384</v>
      </c>
      <c r="Z322" s="234">
        <f t="shared" si="433"/>
        <v>0</v>
      </c>
      <c r="AA322" s="234">
        <f t="shared" si="433"/>
        <v>3167.4587062713313</v>
      </c>
      <c r="AB322" s="234">
        <f t="shared" si="433"/>
        <v>633.49174125426623</v>
      </c>
      <c r="AC322" s="234">
        <f t="shared" si="433"/>
        <v>3654.0777976985396</v>
      </c>
      <c r="AD322" s="234">
        <f t="shared" si="433"/>
        <v>2541.3182523559976</v>
      </c>
      <c r="AE322" s="234">
        <f t="shared" si="433"/>
        <v>1502.8493508905958</v>
      </c>
      <c r="AF322" s="234">
        <f t="shared" si="433"/>
        <v>0</v>
      </c>
      <c r="AG322" s="234">
        <f t="shared" si="433"/>
        <v>874.21860293088741</v>
      </c>
      <c r="AH322" s="92"/>
      <c r="AI322" s="92"/>
      <c r="AJ322" s="491" t="s">
        <v>65</v>
      </c>
      <c r="AK322" s="492"/>
      <c r="AL322" s="492"/>
      <c r="AM322" s="492"/>
      <c r="AN322" s="493"/>
      <c r="AO322" s="144">
        <f>SUM(AO321:AO321)</f>
        <v>228057.02685153586</v>
      </c>
      <c r="AP322" s="93">
        <f t="shared" ref="AP322:AZ322" si="434">SUM(AP321:AP321)</f>
        <v>76019.008950511954</v>
      </c>
      <c r="AQ322" s="93">
        <f t="shared" si="434"/>
        <v>0</v>
      </c>
      <c r="AR322" s="93">
        <f t="shared" si="434"/>
        <v>28959.493511488061</v>
      </c>
      <c r="AS322" s="93">
        <f t="shared" si="434"/>
        <v>0</v>
      </c>
      <c r="AT322" s="93">
        <f t="shared" si="434"/>
        <v>38009.504475255977</v>
      </c>
      <c r="AU322" s="93">
        <f t="shared" si="434"/>
        <v>7601.9008950511943</v>
      </c>
      <c r="AV322" s="93">
        <f t="shared" si="434"/>
        <v>43848.933572382477</v>
      </c>
      <c r="AW322" s="93">
        <f t="shared" si="434"/>
        <v>30495.819028271973</v>
      </c>
      <c r="AX322" s="93">
        <f t="shared" si="434"/>
        <v>18034.19221068715</v>
      </c>
      <c r="AY322" s="93">
        <f t="shared" si="434"/>
        <v>0</v>
      </c>
      <c r="AZ322" s="93">
        <f t="shared" si="434"/>
        <v>10490.623235170649</v>
      </c>
      <c r="BA322" s="94"/>
      <c r="BB322" s="92"/>
      <c r="BC322" s="95"/>
      <c r="BD322" s="95"/>
      <c r="BE322" s="95"/>
      <c r="BF322" s="50"/>
      <c r="BG322" s="50"/>
      <c r="BH322" s="50"/>
      <c r="BI322" s="50"/>
      <c r="BJ322" s="50"/>
      <c r="BK322" s="50"/>
      <c r="BL322" s="50"/>
      <c r="BM322" s="50"/>
      <c r="BN322" s="50"/>
      <c r="BO322" s="50"/>
      <c r="BP322" s="50"/>
      <c r="BQ322" s="50"/>
      <c r="BR322" s="50"/>
      <c r="BS322" s="50"/>
      <c r="BT322" s="50"/>
      <c r="BU322" s="50"/>
      <c r="BV322" s="50"/>
      <c r="BW322" s="50"/>
      <c r="BX322" s="50"/>
      <c r="BY322" s="50"/>
      <c r="BZ322" s="50"/>
      <c r="CA322" s="50"/>
      <c r="CB322" s="50"/>
      <c r="CC322" s="50"/>
      <c r="CD322" s="50"/>
      <c r="CE322" s="50"/>
      <c r="CF322" s="50"/>
      <c r="CG322" s="50"/>
      <c r="CH322" s="50"/>
      <c r="CI322" s="50"/>
      <c r="CJ322" s="50"/>
      <c r="CK322" s="50"/>
      <c r="CL322" s="50"/>
      <c r="CM322" s="50"/>
      <c r="CN322" s="50"/>
      <c r="CO322" s="50"/>
      <c r="CP322" s="50"/>
      <c r="CQ322" s="50"/>
      <c r="CR322" s="50"/>
      <c r="CS322" s="50"/>
      <c r="CT322" s="50"/>
      <c r="CU322" s="50"/>
      <c r="CV322" s="50"/>
      <c r="CW322" s="50"/>
      <c r="CX322" s="50"/>
      <c r="CY322" s="50"/>
      <c r="CZ322" s="50"/>
      <c r="DA322" s="50"/>
      <c r="DB322" s="50"/>
      <c r="DC322" s="50"/>
      <c r="DD322" s="50"/>
      <c r="DE322" s="50"/>
      <c r="DF322" s="50"/>
      <c r="DG322" s="50"/>
      <c r="DH322" s="50"/>
      <c r="DI322" s="50"/>
      <c r="DJ322" s="50"/>
      <c r="DK322" s="50"/>
      <c r="DL322" s="50"/>
      <c r="DM322" s="50"/>
      <c r="DN322" s="50"/>
      <c r="DO322" s="50"/>
      <c r="DP322" s="50"/>
      <c r="DQ322" s="50"/>
      <c r="DR322" s="50"/>
      <c r="DS322" s="50"/>
      <c r="DT322" s="50"/>
      <c r="DU322" s="50"/>
      <c r="DV322" s="50"/>
      <c r="DW322" s="50"/>
      <c r="DX322" s="50"/>
      <c r="DY322" s="50"/>
      <c r="DZ322" s="50"/>
      <c r="EA322" s="50"/>
      <c r="EB322" s="50"/>
      <c r="EC322" s="50"/>
      <c r="ED322" s="50"/>
      <c r="EE322" s="50"/>
      <c r="EF322" s="50"/>
      <c r="EG322" s="50"/>
      <c r="EH322" s="50"/>
      <c r="EI322" s="50"/>
      <c r="EJ322" s="50"/>
      <c r="EK322" s="50"/>
      <c r="EL322" s="50"/>
      <c r="EM322" s="50"/>
      <c r="EN322" s="50"/>
      <c r="EO322" s="50"/>
      <c r="EP322" s="50"/>
      <c r="EQ322" s="50"/>
      <c r="ER322" s="50"/>
      <c r="ES322" s="50"/>
      <c r="ET322" s="50"/>
      <c r="EU322" s="50"/>
      <c r="EV322" s="50"/>
      <c r="EW322" s="50"/>
      <c r="EX322" s="50"/>
      <c r="EY322" s="50"/>
      <c r="EZ322" s="50"/>
      <c r="FA322" s="50"/>
      <c r="FB322" s="50"/>
      <c r="FC322" s="50"/>
      <c r="FD322" s="50"/>
      <c r="FE322" s="50"/>
      <c r="FF322" s="50"/>
      <c r="FG322" s="50"/>
      <c r="FH322" s="50"/>
      <c r="FI322" s="50"/>
      <c r="FJ322" s="50"/>
      <c r="FK322" s="50"/>
      <c r="FL322" s="50"/>
      <c r="FM322" s="50"/>
      <c r="FN322" s="50"/>
      <c r="FO322" s="50"/>
      <c r="FP322" s="50"/>
      <c r="FQ322" s="50"/>
      <c r="FR322" s="50"/>
      <c r="FS322" s="50"/>
      <c r="FT322" s="50"/>
      <c r="FU322" s="50"/>
    </row>
    <row r="323" spans="1:177" ht="21" customHeight="1" x14ac:dyDescent="0.2">
      <c r="B323" s="67">
        <v>2</v>
      </c>
      <c r="C323" s="73" t="s">
        <v>66</v>
      </c>
      <c r="D323" s="67">
        <v>16065</v>
      </c>
      <c r="E323" s="72" t="s">
        <v>460</v>
      </c>
      <c r="F323" s="72" t="s">
        <v>461</v>
      </c>
      <c r="G323" s="55">
        <v>36924</v>
      </c>
      <c r="H323" s="56" t="str">
        <f t="shared" ref="H323:H324" si="435" xml:space="preserve"> CONCATENATE(DATEDIF(G323,H$5,"Y")," AÑOS")</f>
        <v>23 AÑOS</v>
      </c>
      <c r="I323" s="57">
        <v>10169.569213440001</v>
      </c>
      <c r="J323" s="58"/>
      <c r="K323" s="58"/>
      <c r="L323" s="59"/>
      <c r="M323" s="60">
        <v>4.0000000000000002E-4</v>
      </c>
      <c r="N323" s="61">
        <f>I323*0.04</f>
        <v>406.78276853760008</v>
      </c>
      <c r="O323" s="58">
        <f>I323+N323</f>
        <v>10576.351981977601</v>
      </c>
      <c r="P323" s="61">
        <f t="shared" si="425"/>
        <v>21152.703963955202</v>
      </c>
      <c r="Q323" s="61">
        <f t="shared" si="426"/>
        <v>15864.527972966402</v>
      </c>
      <c r="R323" s="61">
        <f t="shared" si="427"/>
        <v>5288.1759909888005</v>
      </c>
      <c r="S323" s="61">
        <f t="shared" si="428"/>
        <v>705.09013213184005</v>
      </c>
      <c r="T323" s="58">
        <f t="shared" si="429"/>
        <v>809.3729626741391</v>
      </c>
      <c r="U323" s="61">
        <f t="shared" si="430"/>
        <v>7932.2639864832008</v>
      </c>
      <c r="V323" s="58">
        <f t="shared" si="431"/>
        <v>2644.0879954944003</v>
      </c>
      <c r="W323" s="101">
        <v>7.4999999999999997E-2</v>
      </c>
      <c r="X323" s="63">
        <f>P323*W323</f>
        <v>1586.45279729664</v>
      </c>
      <c r="Y323" s="61">
        <v>1742.5392230256234</v>
      </c>
      <c r="Z323" s="61">
        <v>0</v>
      </c>
      <c r="AA323" s="61">
        <f>(S323*45)/12</f>
        <v>2644.0879954944003</v>
      </c>
      <c r="AB323" s="61">
        <f>(S323*10)*(0.45*2)/12</f>
        <v>528.81759909888012</v>
      </c>
      <c r="AC323" s="61">
        <v>3140.9154601478635</v>
      </c>
      <c r="AD323" s="61">
        <v>2121.4070038170521</v>
      </c>
      <c r="AE323" s="61">
        <v>1254.5280921449157</v>
      </c>
      <c r="AF323" s="61">
        <v>0</v>
      </c>
      <c r="AG323" s="61">
        <f>(P323+AA323+AB323)*0.03</f>
        <v>729.76828675645436</v>
      </c>
      <c r="AH323" s="64"/>
      <c r="AI323" s="64"/>
      <c r="AJ323" s="67">
        <v>2</v>
      </c>
      <c r="AK323" s="73" t="s">
        <v>66</v>
      </c>
      <c r="AL323" s="67">
        <v>16065</v>
      </c>
      <c r="AM323" s="72" t="s">
        <v>460</v>
      </c>
      <c r="AN323" s="72" t="s">
        <v>461</v>
      </c>
      <c r="AO323" s="138">
        <f>Q323*12</f>
        <v>190374.33567559681</v>
      </c>
      <c r="AP323" s="65">
        <f>R323*12</f>
        <v>63458.111891865607</v>
      </c>
      <c r="AQ323" s="65">
        <f t="shared" ref="AQ323:AZ324" si="436">X323*12</f>
        <v>19037.433567559681</v>
      </c>
      <c r="AR323" s="65">
        <f t="shared" si="436"/>
        <v>20910.470676307479</v>
      </c>
      <c r="AS323" s="65">
        <f t="shared" si="436"/>
        <v>0</v>
      </c>
      <c r="AT323" s="65">
        <f t="shared" si="436"/>
        <v>31729.055945932803</v>
      </c>
      <c r="AU323" s="65">
        <f t="shared" si="436"/>
        <v>6345.811189186561</v>
      </c>
      <c r="AV323" s="65">
        <f t="shared" si="436"/>
        <v>37690.985521774361</v>
      </c>
      <c r="AW323" s="65">
        <f t="shared" si="436"/>
        <v>25456.884045804625</v>
      </c>
      <c r="AX323" s="65">
        <f t="shared" si="436"/>
        <v>15054.337105738989</v>
      </c>
      <c r="AY323" s="65">
        <f t="shared" si="436"/>
        <v>0</v>
      </c>
      <c r="AZ323" s="65">
        <f t="shared" si="436"/>
        <v>8757.2194410774518</v>
      </c>
      <c r="BB323" s="64"/>
      <c r="BC323" s="66"/>
      <c r="BD323" s="66"/>
      <c r="BE323" s="66"/>
    </row>
    <row r="324" spans="1:177" ht="21" customHeight="1" x14ac:dyDescent="0.2">
      <c r="B324" s="67">
        <v>3</v>
      </c>
      <c r="C324" s="73" t="s">
        <v>66</v>
      </c>
      <c r="D324" s="67">
        <v>12052</v>
      </c>
      <c r="E324" s="72" t="s">
        <v>462</v>
      </c>
      <c r="F324" s="72" t="s">
        <v>463</v>
      </c>
      <c r="G324" s="55">
        <v>39615</v>
      </c>
      <c r="H324" s="56" t="str">
        <f t="shared" si="435"/>
        <v>16 AÑOS</v>
      </c>
      <c r="I324" s="75">
        <v>6473.7189032442993</v>
      </c>
      <c r="J324" s="75"/>
      <c r="K324" s="75"/>
      <c r="L324" s="137"/>
      <c r="M324" s="60">
        <v>4.0000000000000002E-4</v>
      </c>
      <c r="N324" s="61">
        <f>I324*0.04</f>
        <v>258.94875612977199</v>
      </c>
      <c r="O324" s="58">
        <f>I324+N324</f>
        <v>6732.6676593740713</v>
      </c>
      <c r="P324" s="61">
        <f t="shared" si="425"/>
        <v>13465.335318748143</v>
      </c>
      <c r="Q324" s="61">
        <f t="shared" si="426"/>
        <v>10099.001489061107</v>
      </c>
      <c r="R324" s="61">
        <f t="shared" si="427"/>
        <v>3366.3338296870356</v>
      </c>
      <c r="S324" s="61">
        <f t="shared" si="428"/>
        <v>448.8445106249381</v>
      </c>
      <c r="T324" s="58">
        <f t="shared" si="429"/>
        <v>515.22861374636636</v>
      </c>
      <c r="U324" s="61">
        <f t="shared" si="430"/>
        <v>5049.5007445305537</v>
      </c>
      <c r="V324" s="58">
        <f t="shared" si="431"/>
        <v>1683.1669148435178</v>
      </c>
      <c r="W324" s="238">
        <v>7.4999999999999997E-2</v>
      </c>
      <c r="X324" s="63">
        <f>P324*W324</f>
        <v>1009.9001489061106</v>
      </c>
      <c r="Y324" s="61">
        <v>785.81062600984842</v>
      </c>
      <c r="Z324" s="61">
        <v>0</v>
      </c>
      <c r="AA324" s="61">
        <f>(S324*45)/12</f>
        <v>1683.1669148435178</v>
      </c>
      <c r="AB324" s="61">
        <f>(S324*10)*(0.45*2)/12</f>
        <v>336.63338296870359</v>
      </c>
      <c r="AC324" s="61">
        <v>2198.7371956887764</v>
      </c>
      <c r="AD324" s="61">
        <v>1350.4399580599136</v>
      </c>
      <c r="AE324" s="61">
        <v>798.6043513068679</v>
      </c>
      <c r="AF324" s="61">
        <v>0</v>
      </c>
      <c r="AG324" s="61">
        <f>(P324+AA324+AB324)*0.03</f>
        <v>464.55406849681088</v>
      </c>
      <c r="AH324" s="64"/>
      <c r="AI324" s="64"/>
      <c r="AJ324" s="67">
        <v>3</v>
      </c>
      <c r="AK324" s="73" t="s">
        <v>66</v>
      </c>
      <c r="AL324" s="67">
        <v>12052</v>
      </c>
      <c r="AM324" s="72" t="s">
        <v>462</v>
      </c>
      <c r="AN324" s="72" t="s">
        <v>463</v>
      </c>
      <c r="AO324" s="138">
        <f>Q324*12</f>
        <v>121188.0178687333</v>
      </c>
      <c r="AP324" s="65">
        <f>R324*12</f>
        <v>40396.005956244429</v>
      </c>
      <c r="AQ324" s="65">
        <f t="shared" si="436"/>
        <v>12118.801786873328</v>
      </c>
      <c r="AR324" s="65">
        <f t="shared" si="436"/>
        <v>9429.727512118181</v>
      </c>
      <c r="AS324" s="65">
        <f t="shared" si="436"/>
        <v>0</v>
      </c>
      <c r="AT324" s="65">
        <f t="shared" si="436"/>
        <v>20198.002978122215</v>
      </c>
      <c r="AU324" s="65">
        <f t="shared" si="436"/>
        <v>4039.600595624443</v>
      </c>
      <c r="AV324" s="65">
        <f t="shared" si="436"/>
        <v>26384.846348265317</v>
      </c>
      <c r="AW324" s="65">
        <f t="shared" si="436"/>
        <v>16205.279496718962</v>
      </c>
      <c r="AX324" s="65">
        <f t="shared" si="436"/>
        <v>9583.2522156824143</v>
      </c>
      <c r="AY324" s="65">
        <f t="shared" si="436"/>
        <v>0</v>
      </c>
      <c r="AZ324" s="65">
        <f t="shared" si="436"/>
        <v>5574.6488219617304</v>
      </c>
      <c r="BB324" s="64"/>
      <c r="BC324" s="66"/>
      <c r="BD324" s="66"/>
      <c r="BE324" s="66"/>
    </row>
    <row r="325" spans="1:177" s="96" customFormat="1" ht="21" customHeight="1" x14ac:dyDescent="0.2">
      <c r="A325" s="50"/>
      <c r="B325" s="455" t="s">
        <v>99</v>
      </c>
      <c r="C325" s="456"/>
      <c r="D325" s="456"/>
      <c r="E325" s="143">
        <v>3</v>
      </c>
      <c r="F325" s="88" t="s">
        <v>100</v>
      </c>
      <c r="G325" s="89"/>
      <c r="H325" s="89"/>
      <c r="I325" s="91">
        <f>SUM(I323:I324)</f>
        <v>16643.2881166843</v>
      </c>
      <c r="J325" s="91">
        <f t="shared" ref="J325:AG325" si="437">SUM(J323:J324)</f>
        <v>0</v>
      </c>
      <c r="K325" s="91">
        <f t="shared" si="437"/>
        <v>0</v>
      </c>
      <c r="L325" s="140">
        <f t="shared" si="437"/>
        <v>0</v>
      </c>
      <c r="M325" s="91">
        <f t="shared" si="437"/>
        <v>8.0000000000000004E-4</v>
      </c>
      <c r="N325" s="91">
        <f t="shared" si="437"/>
        <v>665.73152466737201</v>
      </c>
      <c r="O325" s="91">
        <f t="shared" si="437"/>
        <v>17309.019641351671</v>
      </c>
      <c r="P325" s="91">
        <f t="shared" si="437"/>
        <v>34618.039282703343</v>
      </c>
      <c r="Q325" s="91">
        <f t="shared" si="437"/>
        <v>25963.529462027509</v>
      </c>
      <c r="R325" s="91">
        <f t="shared" si="437"/>
        <v>8654.5098206758357</v>
      </c>
      <c r="S325" s="91">
        <f t="shared" si="437"/>
        <v>1153.9346427567782</v>
      </c>
      <c r="T325" s="91">
        <f t="shared" si="437"/>
        <v>1324.6015764205054</v>
      </c>
      <c r="U325" s="141">
        <f t="shared" si="437"/>
        <v>12981.764731013754</v>
      </c>
      <c r="V325" s="91">
        <f t="shared" si="437"/>
        <v>4327.2549103379179</v>
      </c>
      <c r="W325" s="91">
        <f t="shared" si="437"/>
        <v>0.15</v>
      </c>
      <c r="X325" s="91">
        <f t="shared" si="437"/>
        <v>2596.3529462027509</v>
      </c>
      <c r="Y325" s="91">
        <f t="shared" si="437"/>
        <v>2528.3498490354718</v>
      </c>
      <c r="Z325" s="91">
        <f t="shared" si="437"/>
        <v>0</v>
      </c>
      <c r="AA325" s="91">
        <f t="shared" si="437"/>
        <v>4327.2549103379179</v>
      </c>
      <c r="AB325" s="91">
        <f t="shared" si="437"/>
        <v>865.45098206758371</v>
      </c>
      <c r="AC325" s="91">
        <f t="shared" si="437"/>
        <v>5339.6526558366404</v>
      </c>
      <c r="AD325" s="91">
        <f t="shared" si="437"/>
        <v>3471.8469618769659</v>
      </c>
      <c r="AE325" s="91">
        <f t="shared" si="437"/>
        <v>2053.1324434517837</v>
      </c>
      <c r="AF325" s="91">
        <f t="shared" si="437"/>
        <v>0</v>
      </c>
      <c r="AG325" s="91">
        <f t="shared" si="437"/>
        <v>1194.3223552532652</v>
      </c>
      <c r="AH325" s="92"/>
      <c r="AI325" s="92"/>
      <c r="AJ325" s="455" t="s">
        <v>99</v>
      </c>
      <c r="AK325" s="456"/>
      <c r="AL325" s="456"/>
      <c r="AM325" s="143">
        <v>3</v>
      </c>
      <c r="AN325" s="88" t="s">
        <v>100</v>
      </c>
      <c r="AO325" s="144">
        <f>SUM(AO323:AO324)</f>
        <v>311562.35354433011</v>
      </c>
      <c r="AP325" s="93">
        <f t="shared" ref="AP325:AZ325" si="438">SUM(AP323:AP324)</f>
        <v>103854.11784811004</v>
      </c>
      <c r="AQ325" s="93">
        <f t="shared" si="438"/>
        <v>31156.235354433011</v>
      </c>
      <c r="AR325" s="93">
        <f t="shared" si="438"/>
        <v>30340.19818842566</v>
      </c>
      <c r="AS325" s="93">
        <f t="shared" si="438"/>
        <v>0</v>
      </c>
      <c r="AT325" s="93">
        <f t="shared" si="438"/>
        <v>51927.058924055018</v>
      </c>
      <c r="AU325" s="93">
        <f t="shared" si="438"/>
        <v>10385.411784811004</v>
      </c>
      <c r="AV325" s="93">
        <f t="shared" si="438"/>
        <v>64075.831870039678</v>
      </c>
      <c r="AW325" s="93">
        <f t="shared" si="438"/>
        <v>41662.163542523587</v>
      </c>
      <c r="AX325" s="93">
        <f t="shared" si="438"/>
        <v>24637.589321421401</v>
      </c>
      <c r="AY325" s="93">
        <f t="shared" si="438"/>
        <v>0</v>
      </c>
      <c r="AZ325" s="93">
        <f t="shared" si="438"/>
        <v>14331.868263039181</v>
      </c>
      <c r="BA325" s="94"/>
      <c r="BB325" s="92"/>
      <c r="BC325" s="95"/>
      <c r="BD325" s="95"/>
      <c r="BE325" s="95"/>
      <c r="BF325" s="50"/>
      <c r="BG325" s="50"/>
      <c r="BH325" s="50"/>
      <c r="BI325" s="50"/>
      <c r="BJ325" s="50"/>
      <c r="BK325" s="50"/>
      <c r="BL325" s="50"/>
      <c r="BM325" s="50"/>
      <c r="BN325" s="50"/>
      <c r="BO325" s="50"/>
      <c r="BP325" s="50"/>
      <c r="BQ325" s="50"/>
      <c r="BR325" s="50"/>
      <c r="BS325" s="50"/>
      <c r="BT325" s="50"/>
      <c r="BU325" s="50"/>
      <c r="BV325" s="50"/>
      <c r="BW325" s="50"/>
      <c r="BX325" s="50"/>
      <c r="BY325" s="50"/>
      <c r="BZ325" s="50"/>
      <c r="CA325" s="50"/>
      <c r="CB325" s="50"/>
      <c r="CC325" s="50"/>
      <c r="CD325" s="50"/>
      <c r="CE325" s="50"/>
      <c r="CF325" s="50"/>
      <c r="CG325" s="50"/>
      <c r="CH325" s="50"/>
      <c r="CI325" s="50"/>
      <c r="CJ325" s="50"/>
      <c r="CK325" s="50"/>
      <c r="CL325" s="50"/>
      <c r="CM325" s="50"/>
      <c r="CN325" s="50"/>
      <c r="CO325" s="50"/>
      <c r="CP325" s="50"/>
      <c r="CQ325" s="50"/>
      <c r="CR325" s="50"/>
      <c r="CS325" s="50"/>
      <c r="CT325" s="50"/>
      <c r="CU325" s="50"/>
      <c r="CV325" s="50"/>
      <c r="CW325" s="50"/>
      <c r="CX325" s="50"/>
      <c r="CY325" s="50"/>
      <c r="CZ325" s="50"/>
      <c r="DA325" s="50"/>
      <c r="DB325" s="50"/>
      <c r="DC325" s="50"/>
      <c r="DD325" s="50"/>
      <c r="DE325" s="50"/>
      <c r="DF325" s="50"/>
      <c r="DG325" s="50"/>
      <c r="DH325" s="50"/>
      <c r="DI325" s="50"/>
      <c r="DJ325" s="50"/>
      <c r="DK325" s="50"/>
      <c r="DL325" s="50"/>
      <c r="DM325" s="50"/>
      <c r="DN325" s="50"/>
      <c r="DO325" s="50"/>
      <c r="DP325" s="50"/>
      <c r="DQ325" s="50"/>
      <c r="DR325" s="50"/>
      <c r="DS325" s="50"/>
      <c r="DT325" s="50"/>
      <c r="DU325" s="50"/>
      <c r="DV325" s="50"/>
      <c r="DW325" s="50"/>
      <c r="DX325" s="50"/>
      <c r="DY325" s="50"/>
      <c r="DZ325" s="50"/>
      <c r="EA325" s="50"/>
      <c r="EB325" s="50"/>
      <c r="EC325" s="50"/>
      <c r="ED325" s="50"/>
      <c r="EE325" s="50"/>
      <c r="EF325" s="50"/>
      <c r="EG325" s="50"/>
      <c r="EH325" s="50"/>
      <c r="EI325" s="50"/>
      <c r="EJ325" s="50"/>
      <c r="EK325" s="50"/>
      <c r="EL325" s="50"/>
      <c r="EM325" s="50"/>
      <c r="EN325" s="50"/>
      <c r="EO325" s="50"/>
      <c r="EP325" s="50"/>
      <c r="EQ325" s="50"/>
      <c r="ER325" s="50"/>
      <c r="ES325" s="50"/>
      <c r="ET325" s="50"/>
      <c r="EU325" s="50"/>
      <c r="EV325" s="50"/>
      <c r="EW325" s="50"/>
      <c r="EX325" s="50"/>
      <c r="EY325" s="50"/>
      <c r="EZ325" s="50"/>
      <c r="FA325" s="50"/>
      <c r="FB325" s="50"/>
      <c r="FC325" s="50"/>
      <c r="FD325" s="50"/>
      <c r="FE325" s="50"/>
      <c r="FF325" s="50"/>
      <c r="FG325" s="50"/>
      <c r="FH325" s="50"/>
      <c r="FI325" s="50"/>
      <c r="FJ325" s="50"/>
      <c r="FK325" s="50"/>
      <c r="FL325" s="50"/>
      <c r="FM325" s="50"/>
      <c r="FN325" s="50"/>
      <c r="FO325" s="50"/>
      <c r="FP325" s="50"/>
      <c r="FQ325" s="50"/>
      <c r="FR325" s="50"/>
      <c r="FS325" s="50"/>
      <c r="FT325" s="50"/>
      <c r="FU325" s="50"/>
    </row>
    <row r="326" spans="1:177" ht="21" customHeight="1" x14ac:dyDescent="0.2">
      <c r="B326" s="457" t="s">
        <v>101</v>
      </c>
      <c r="C326" s="458"/>
      <c r="D326" s="458"/>
      <c r="E326" s="76">
        <v>3</v>
      </c>
      <c r="F326" s="199" t="s">
        <v>464</v>
      </c>
      <c r="G326" s="147"/>
      <c r="H326" s="147"/>
      <c r="I326" s="57">
        <f>I322+I325</f>
        <v>28825.821602343269</v>
      </c>
      <c r="J326" s="57">
        <f t="shared" ref="J326:AG326" si="439">J322+J325</f>
        <v>0</v>
      </c>
      <c r="K326" s="57">
        <f t="shared" si="439"/>
        <v>0</v>
      </c>
      <c r="L326" s="74">
        <f t="shared" si="439"/>
        <v>0</v>
      </c>
      <c r="M326" s="57">
        <f t="shared" si="439"/>
        <v>1.2000000000000001E-3</v>
      </c>
      <c r="N326" s="57">
        <f t="shared" si="439"/>
        <v>1153.0328640937307</v>
      </c>
      <c r="O326" s="57">
        <f t="shared" si="439"/>
        <v>29978.854466436998</v>
      </c>
      <c r="P326" s="57">
        <f t="shared" si="439"/>
        <v>59957.708932873997</v>
      </c>
      <c r="Q326" s="57">
        <f t="shared" si="439"/>
        <v>44968.281699655498</v>
      </c>
      <c r="R326" s="57">
        <f t="shared" si="439"/>
        <v>14989.427233218499</v>
      </c>
      <c r="S326" s="57">
        <f t="shared" si="439"/>
        <v>1998.5902977624664</v>
      </c>
      <c r="T326" s="57">
        <f t="shared" si="439"/>
        <v>2294.181802801535</v>
      </c>
      <c r="U326" s="81">
        <f t="shared" si="439"/>
        <v>22484.140849827749</v>
      </c>
      <c r="V326" s="57">
        <f t="shared" si="439"/>
        <v>7494.7136166092496</v>
      </c>
      <c r="W326" s="57">
        <f t="shared" si="439"/>
        <v>0.15</v>
      </c>
      <c r="X326" s="57">
        <f t="shared" si="439"/>
        <v>2596.3529462027509</v>
      </c>
      <c r="Y326" s="57">
        <f t="shared" si="439"/>
        <v>4941.6409749928098</v>
      </c>
      <c r="Z326" s="57">
        <f t="shared" si="439"/>
        <v>0</v>
      </c>
      <c r="AA326" s="57">
        <f t="shared" si="439"/>
        <v>7494.7136166092496</v>
      </c>
      <c r="AB326" s="57">
        <f t="shared" si="439"/>
        <v>1498.9427233218498</v>
      </c>
      <c r="AC326" s="57">
        <f t="shared" si="439"/>
        <v>8993.7304535351795</v>
      </c>
      <c r="AD326" s="57">
        <f t="shared" si="439"/>
        <v>6013.165214232964</v>
      </c>
      <c r="AE326" s="57">
        <f t="shared" si="439"/>
        <v>3555.9817943423795</v>
      </c>
      <c r="AF326" s="57">
        <f t="shared" si="439"/>
        <v>0</v>
      </c>
      <c r="AG326" s="57">
        <f t="shared" si="439"/>
        <v>2068.5409581841527</v>
      </c>
      <c r="AH326" s="92">
        <f>Q326+R326-Y326+Z326+X326+AA326+AB326+AC326+AD326+AE326+AF326+AG326</f>
        <v>87237.495664309725</v>
      </c>
      <c r="AI326" s="92">
        <f>AH326*12</f>
        <v>1046849.9479717168</v>
      </c>
      <c r="AJ326" s="457" t="s">
        <v>101</v>
      </c>
      <c r="AK326" s="458"/>
      <c r="AL326" s="458"/>
      <c r="AM326" s="76">
        <v>3</v>
      </c>
      <c r="AN326" s="199" t="s">
        <v>464</v>
      </c>
      <c r="AO326" s="148">
        <f t="shared" ref="AO326:AZ326" si="440">AO322+AO325</f>
        <v>539619.380395866</v>
      </c>
      <c r="AP326" s="149">
        <f t="shared" si="440"/>
        <v>179873.12679862199</v>
      </c>
      <c r="AQ326" s="149">
        <f t="shared" si="440"/>
        <v>31156.235354433011</v>
      </c>
      <c r="AR326" s="149">
        <f t="shared" si="440"/>
        <v>59299.691699913717</v>
      </c>
      <c r="AS326" s="149">
        <f t="shared" si="440"/>
        <v>0</v>
      </c>
      <c r="AT326" s="149">
        <f t="shared" si="440"/>
        <v>89936.563399310995</v>
      </c>
      <c r="AU326" s="149">
        <f t="shared" si="440"/>
        <v>17987.312679862196</v>
      </c>
      <c r="AV326" s="149">
        <f t="shared" si="440"/>
        <v>107924.76544242215</v>
      </c>
      <c r="AW326" s="149">
        <f t="shared" si="440"/>
        <v>72157.982570795561</v>
      </c>
      <c r="AX326" s="149">
        <f t="shared" si="440"/>
        <v>42671.781532108551</v>
      </c>
      <c r="AY326" s="149">
        <f t="shared" si="440"/>
        <v>0</v>
      </c>
      <c r="AZ326" s="149">
        <f t="shared" si="440"/>
        <v>24822.491498209831</v>
      </c>
      <c r="BA326" s="94"/>
      <c r="BB326" s="92">
        <f>AO326+AP326+AQ326-AR326+AS326+AU326+AV326+AT326+AW326+AX326+AY326+AZ326</f>
        <v>1046849.9479717165</v>
      </c>
      <c r="BC326" s="95"/>
      <c r="BD326" s="95"/>
      <c r="BE326" s="95"/>
    </row>
    <row r="327" spans="1:177" ht="21" customHeight="1" x14ac:dyDescent="0.2">
      <c r="B327" s="457" t="s">
        <v>103</v>
      </c>
      <c r="C327" s="458"/>
      <c r="D327" s="458"/>
      <c r="E327" s="76">
        <f>E325-E326</f>
        <v>0</v>
      </c>
      <c r="F327" s="76"/>
      <c r="G327" s="484"/>
      <c r="H327" s="479"/>
      <c r="I327" s="479"/>
      <c r="J327" s="479"/>
      <c r="K327" s="479"/>
      <c r="L327" s="479"/>
      <c r="M327" s="479"/>
      <c r="N327" s="479"/>
      <c r="O327" s="479"/>
      <c r="P327" s="479"/>
      <c r="Q327" s="479"/>
      <c r="R327" s="479"/>
      <c r="S327" s="479"/>
      <c r="T327" s="479"/>
      <c r="U327" s="479"/>
      <c r="V327" s="479"/>
      <c r="W327" s="479"/>
      <c r="X327" s="479"/>
      <c r="Y327" s="479"/>
      <c r="Z327" s="479"/>
      <c r="AA327" s="479"/>
      <c r="AB327" s="479"/>
      <c r="AC327" s="479"/>
      <c r="AD327" s="479"/>
      <c r="AE327" s="479"/>
      <c r="AF327" s="479"/>
      <c r="AG327" s="480"/>
      <c r="AH327" s="92"/>
      <c r="AI327" s="92"/>
      <c r="AJ327" s="457" t="s">
        <v>103</v>
      </c>
      <c r="AK327" s="458"/>
      <c r="AL327" s="458"/>
      <c r="AM327" s="76">
        <f>AM325-AM326</f>
        <v>0</v>
      </c>
      <c r="AN327" s="76"/>
      <c r="AO327" s="481"/>
      <c r="AP327" s="482"/>
      <c r="AQ327" s="482"/>
      <c r="AR327" s="482"/>
      <c r="AS327" s="482"/>
      <c r="AT327" s="482"/>
      <c r="AU327" s="482"/>
      <c r="AV327" s="482"/>
      <c r="AW327" s="482"/>
      <c r="AX327" s="482"/>
      <c r="AY327" s="482"/>
      <c r="AZ327" s="483"/>
      <c r="BA327" s="152"/>
      <c r="BB327" s="92"/>
      <c r="BC327" s="95"/>
      <c r="BD327" s="95"/>
      <c r="BE327" s="95"/>
    </row>
    <row r="328" spans="1:177" ht="21" customHeight="1" x14ac:dyDescent="0.2">
      <c r="B328" s="5"/>
      <c r="C328" s="94"/>
      <c r="D328" s="5"/>
      <c r="E328" s="94"/>
      <c r="G328" s="27"/>
      <c r="H328" s="27"/>
      <c r="I328" s="95"/>
      <c r="J328" s="95"/>
      <c r="K328" s="95"/>
      <c r="L328" s="27"/>
      <c r="M328" s="128"/>
      <c r="N328" s="66"/>
      <c r="O328" s="95"/>
      <c r="P328" s="66"/>
      <c r="Q328" s="66"/>
      <c r="R328" s="66"/>
      <c r="S328" s="66"/>
      <c r="T328" s="95"/>
      <c r="U328" s="66"/>
      <c r="V328" s="95"/>
      <c r="W328" s="129"/>
      <c r="X328" s="130"/>
      <c r="Y328" s="66"/>
      <c r="Z328" s="66"/>
      <c r="AA328" s="66"/>
      <c r="AB328" s="66"/>
      <c r="AC328" s="66"/>
      <c r="AD328" s="66"/>
      <c r="AE328" s="66"/>
      <c r="AF328" s="66"/>
      <c r="AG328" s="66"/>
      <c r="AH328" s="64"/>
      <c r="AI328" s="64"/>
      <c r="AJ328" s="5"/>
      <c r="AK328" s="94"/>
      <c r="AL328" s="5"/>
      <c r="AM328" s="94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2"/>
      <c r="BB328" s="92"/>
      <c r="BC328" s="95"/>
      <c r="BD328" s="95"/>
      <c r="BE328" s="95"/>
    </row>
    <row r="329" spans="1:177" ht="21" customHeight="1" thickBot="1" x14ac:dyDescent="0.25">
      <c r="B329" s="5"/>
      <c r="C329" s="94"/>
      <c r="D329" s="5"/>
      <c r="E329" s="94"/>
      <c r="G329" s="27"/>
      <c r="H329" s="27"/>
      <c r="I329" s="95"/>
      <c r="J329" s="95"/>
      <c r="K329" s="95"/>
      <c r="L329" s="27"/>
      <c r="M329" s="128"/>
      <c r="N329" s="66"/>
      <c r="O329" s="95"/>
      <c r="P329" s="66"/>
      <c r="Q329" s="66"/>
      <c r="R329" s="66"/>
      <c r="S329" s="66"/>
      <c r="T329" s="95"/>
      <c r="U329" s="66"/>
      <c r="V329" s="95"/>
      <c r="W329" s="129"/>
      <c r="X329" s="130"/>
      <c r="Y329" s="66"/>
      <c r="Z329" s="66"/>
      <c r="AA329" s="66"/>
      <c r="AB329" s="66"/>
      <c r="AC329" s="66"/>
      <c r="AD329" s="66"/>
      <c r="AE329" s="66"/>
      <c r="AF329" s="66"/>
      <c r="AG329" s="66"/>
      <c r="AH329" s="64"/>
      <c r="AI329" s="64"/>
      <c r="AJ329" s="5"/>
      <c r="AK329" s="94"/>
      <c r="AL329" s="5"/>
      <c r="AM329" s="94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2"/>
      <c r="BB329" s="92"/>
      <c r="BC329" s="95"/>
      <c r="BD329" s="95"/>
      <c r="BE329" s="95"/>
    </row>
    <row r="330" spans="1:177" s="134" customFormat="1" ht="21" customHeight="1" thickBot="1" x14ac:dyDescent="0.25">
      <c r="A330" s="94"/>
      <c r="B330" s="494" t="s">
        <v>465</v>
      </c>
      <c r="C330" s="495"/>
      <c r="D330" s="495"/>
      <c r="E330" s="496"/>
      <c r="F330" s="466" t="s">
        <v>4</v>
      </c>
      <c r="G330" s="7" t="s">
        <v>5</v>
      </c>
      <c r="H330" s="8" t="s">
        <v>6</v>
      </c>
      <c r="I330" s="9" t="s">
        <v>7</v>
      </c>
      <c r="J330" s="9"/>
      <c r="K330" s="9"/>
      <c r="L330" s="9"/>
      <c r="M330" s="10">
        <v>4.0000000000000002E-4</v>
      </c>
      <c r="N330" s="11" t="s">
        <v>8</v>
      </c>
      <c r="O330" s="12" t="s">
        <v>9</v>
      </c>
      <c r="P330" s="12" t="s">
        <v>10</v>
      </c>
      <c r="Q330" s="13" t="s">
        <v>11</v>
      </c>
      <c r="R330" s="12" t="s">
        <v>12</v>
      </c>
      <c r="S330" s="14" t="s">
        <v>11</v>
      </c>
      <c r="T330" s="15" t="s">
        <v>13</v>
      </c>
      <c r="U330" s="16" t="s">
        <v>11</v>
      </c>
      <c r="V330" s="17" t="s">
        <v>12</v>
      </c>
      <c r="W330" s="18" t="s">
        <v>14</v>
      </c>
      <c r="X330" s="19" t="s">
        <v>15</v>
      </c>
      <c r="Y330" s="15" t="s">
        <v>16</v>
      </c>
      <c r="Z330" s="13" t="s">
        <v>17</v>
      </c>
      <c r="AA330" s="20" t="s">
        <v>18</v>
      </c>
      <c r="AB330" s="17" t="s">
        <v>19</v>
      </c>
      <c r="AC330" s="13" t="s">
        <v>20</v>
      </c>
      <c r="AD330" s="13" t="s">
        <v>21</v>
      </c>
      <c r="AE330" s="13" t="s">
        <v>22</v>
      </c>
      <c r="AF330" s="17" t="s">
        <v>23</v>
      </c>
      <c r="AG330" s="12" t="s">
        <v>24</v>
      </c>
      <c r="AH330" s="132"/>
      <c r="AI330" s="132"/>
      <c r="AJ330" s="494" t="s">
        <v>465</v>
      </c>
      <c r="AK330" s="495"/>
      <c r="AL330" s="495"/>
      <c r="AM330" s="496"/>
      <c r="AN330" s="466" t="s">
        <v>4</v>
      </c>
      <c r="AO330" s="133" t="s">
        <v>11</v>
      </c>
      <c r="AP330" s="12" t="s">
        <v>12</v>
      </c>
      <c r="AQ330" s="23" t="s">
        <v>15</v>
      </c>
      <c r="AR330" s="22" t="s">
        <v>16</v>
      </c>
      <c r="AS330" s="22" t="s">
        <v>25</v>
      </c>
      <c r="AT330" s="20" t="s">
        <v>26</v>
      </c>
      <c r="AU330" s="24" t="s">
        <v>27</v>
      </c>
      <c r="AV330" s="23" t="s">
        <v>20</v>
      </c>
      <c r="AW330" s="22" t="s">
        <v>28</v>
      </c>
      <c r="AX330" s="22" t="s">
        <v>29</v>
      </c>
      <c r="AY330" s="25" t="s">
        <v>23</v>
      </c>
      <c r="AZ330" s="24" t="s">
        <v>24</v>
      </c>
      <c r="BA330" s="94"/>
      <c r="BB330" s="92"/>
      <c r="BC330" s="95"/>
      <c r="BD330" s="95"/>
      <c r="BE330" s="95"/>
      <c r="BF330" s="94"/>
      <c r="BG330" s="94"/>
      <c r="BH330" s="94"/>
      <c r="BI330" s="94"/>
      <c r="BJ330" s="94"/>
      <c r="BK330" s="94"/>
      <c r="BL330" s="94"/>
      <c r="BM330" s="94"/>
      <c r="BN330" s="94"/>
      <c r="BO330" s="94"/>
      <c r="BP330" s="94"/>
      <c r="BQ330" s="94"/>
      <c r="BR330" s="94"/>
      <c r="BS330" s="94"/>
      <c r="BT330" s="94"/>
      <c r="BU330" s="94"/>
      <c r="BV330" s="94"/>
      <c r="BW330" s="94"/>
      <c r="BX330" s="94"/>
      <c r="BY330" s="94"/>
      <c r="BZ330" s="94"/>
      <c r="CA330" s="94"/>
      <c r="CB330" s="94"/>
      <c r="CC330" s="94"/>
      <c r="CD330" s="94"/>
      <c r="CE330" s="94"/>
      <c r="CF330" s="94"/>
      <c r="CG330" s="94"/>
      <c r="CH330" s="94"/>
      <c r="CI330" s="94"/>
      <c r="CJ330" s="94"/>
      <c r="CK330" s="94"/>
      <c r="CL330" s="94"/>
      <c r="CM330" s="94"/>
      <c r="CN330" s="94"/>
      <c r="CO330" s="94"/>
      <c r="CP330" s="94"/>
      <c r="CQ330" s="94"/>
      <c r="CR330" s="94"/>
      <c r="CS330" s="94"/>
      <c r="CT330" s="94"/>
      <c r="CU330" s="94"/>
      <c r="CV330" s="94"/>
      <c r="CW330" s="94"/>
      <c r="CX330" s="94"/>
      <c r="CY330" s="94"/>
      <c r="CZ330" s="94"/>
      <c r="DA330" s="94"/>
      <c r="DB330" s="94"/>
      <c r="DC330" s="94"/>
      <c r="DD330" s="94"/>
      <c r="DE330" s="94"/>
      <c r="DF330" s="94"/>
      <c r="DG330" s="94"/>
      <c r="DH330" s="94"/>
      <c r="DI330" s="94"/>
      <c r="DJ330" s="94"/>
      <c r="DK330" s="94"/>
      <c r="DL330" s="94"/>
      <c r="DM330" s="94"/>
      <c r="DN330" s="94"/>
      <c r="DO330" s="94"/>
      <c r="DP330" s="94"/>
      <c r="DQ330" s="94"/>
      <c r="DR330" s="94"/>
      <c r="DS330" s="94"/>
      <c r="DT330" s="94"/>
      <c r="DU330" s="94"/>
      <c r="DV330" s="94"/>
      <c r="DW330" s="94"/>
      <c r="DX330" s="94"/>
      <c r="DY330" s="94"/>
      <c r="DZ330" s="94"/>
      <c r="EA330" s="94"/>
      <c r="EB330" s="94"/>
      <c r="EC330" s="94"/>
      <c r="ED330" s="94"/>
      <c r="EE330" s="94"/>
      <c r="EF330" s="94"/>
      <c r="EG330" s="94"/>
      <c r="EH330" s="94"/>
      <c r="EI330" s="94"/>
      <c r="EJ330" s="94"/>
      <c r="EK330" s="94"/>
      <c r="EL330" s="94"/>
      <c r="EM330" s="94"/>
      <c r="EN330" s="94"/>
      <c r="EO330" s="94"/>
      <c r="EP330" s="94"/>
      <c r="EQ330" s="94"/>
      <c r="ER330" s="94"/>
      <c r="ES330" s="94"/>
      <c r="ET330" s="94"/>
      <c r="EU330" s="94"/>
      <c r="EV330" s="94"/>
      <c r="EW330" s="94"/>
      <c r="EX330" s="94"/>
      <c r="EY330" s="94"/>
      <c r="EZ330" s="94"/>
      <c r="FA330" s="94"/>
      <c r="FB330" s="94"/>
      <c r="FC330" s="94"/>
      <c r="FD330" s="94"/>
      <c r="FE330" s="94"/>
      <c r="FF330" s="94"/>
      <c r="FG330" s="94"/>
      <c r="FH330" s="94"/>
      <c r="FI330" s="94"/>
      <c r="FJ330" s="94"/>
      <c r="FK330" s="94"/>
      <c r="FL330" s="94"/>
      <c r="FM330" s="94"/>
      <c r="FN330" s="94"/>
      <c r="FO330" s="94"/>
      <c r="FP330" s="94"/>
      <c r="FQ330" s="94"/>
      <c r="FR330" s="94"/>
      <c r="FS330" s="94"/>
      <c r="FT330" s="94"/>
      <c r="FU330" s="94"/>
    </row>
    <row r="331" spans="1:177" s="134" customFormat="1" ht="21" customHeight="1" thickBot="1" x14ac:dyDescent="0.25">
      <c r="A331" s="94"/>
      <c r="B331" s="30" t="s">
        <v>30</v>
      </c>
      <c r="C331" s="239" t="s">
        <v>31</v>
      </c>
      <c r="D331" s="30" t="s">
        <v>105</v>
      </c>
      <c r="E331" s="32" t="s">
        <v>32</v>
      </c>
      <c r="F331" s="467"/>
      <c r="G331" s="33" t="s">
        <v>33</v>
      </c>
      <c r="H331" s="34">
        <v>45657</v>
      </c>
      <c r="I331" s="35">
        <v>2023</v>
      </c>
      <c r="J331" s="35"/>
      <c r="K331" s="35"/>
      <c r="L331" s="35"/>
      <c r="M331" s="36"/>
      <c r="N331" s="37"/>
      <c r="O331" s="38">
        <v>2024</v>
      </c>
      <c r="P331" s="39" t="s">
        <v>34</v>
      </c>
      <c r="Q331" s="40" t="s">
        <v>35</v>
      </c>
      <c r="R331" s="39" t="s">
        <v>36</v>
      </c>
      <c r="S331" s="41" t="s">
        <v>37</v>
      </c>
      <c r="T331" s="42" t="s">
        <v>38</v>
      </c>
      <c r="U331" s="43" t="s">
        <v>39</v>
      </c>
      <c r="V331" s="41" t="s">
        <v>39</v>
      </c>
      <c r="W331" s="44" t="s">
        <v>15</v>
      </c>
      <c r="X331" s="45" t="s">
        <v>35</v>
      </c>
      <c r="Y331" s="42" t="s">
        <v>35</v>
      </c>
      <c r="Z331" s="40" t="s">
        <v>35</v>
      </c>
      <c r="AA331" s="46" t="s">
        <v>35</v>
      </c>
      <c r="AB331" s="41" t="s">
        <v>35</v>
      </c>
      <c r="AC331" s="40" t="s">
        <v>35</v>
      </c>
      <c r="AD331" s="40" t="s">
        <v>35</v>
      </c>
      <c r="AE331" s="40" t="s">
        <v>35</v>
      </c>
      <c r="AF331" s="41" t="s">
        <v>35</v>
      </c>
      <c r="AG331" s="40" t="s">
        <v>35</v>
      </c>
      <c r="AH331" s="135"/>
      <c r="AI331" s="135"/>
      <c r="AJ331" s="30" t="s">
        <v>30</v>
      </c>
      <c r="AK331" s="239" t="s">
        <v>31</v>
      </c>
      <c r="AL331" s="30" t="s">
        <v>105</v>
      </c>
      <c r="AM331" s="32" t="s">
        <v>32</v>
      </c>
      <c r="AN331" s="467"/>
      <c r="AO331" s="46" t="s">
        <v>40</v>
      </c>
      <c r="AP331" s="39" t="s">
        <v>41</v>
      </c>
      <c r="AQ331" s="48" t="s">
        <v>40</v>
      </c>
      <c r="AR331" s="49" t="s">
        <v>40</v>
      </c>
      <c r="AS331" s="49" t="s">
        <v>40</v>
      </c>
      <c r="AT331" s="46" t="s">
        <v>40</v>
      </c>
      <c r="AU331" s="49" t="s">
        <v>40</v>
      </c>
      <c r="AV331" s="48" t="s">
        <v>40</v>
      </c>
      <c r="AW331" s="49" t="s">
        <v>40</v>
      </c>
      <c r="AX331" s="49" t="s">
        <v>40</v>
      </c>
      <c r="AY331" s="48" t="s">
        <v>40</v>
      </c>
      <c r="AZ331" s="49" t="s">
        <v>40</v>
      </c>
      <c r="BA331" s="94"/>
      <c r="BB331" s="92"/>
      <c r="BC331" s="95"/>
      <c r="BD331" s="95"/>
      <c r="BE331" s="95"/>
      <c r="BF331" s="94"/>
      <c r="BG331" s="94"/>
      <c r="BH331" s="94"/>
      <c r="BI331" s="94"/>
      <c r="BJ331" s="94"/>
      <c r="BK331" s="94"/>
      <c r="BL331" s="94"/>
      <c r="BM331" s="94"/>
      <c r="BN331" s="94"/>
      <c r="BO331" s="94"/>
      <c r="BP331" s="94"/>
      <c r="BQ331" s="94"/>
      <c r="BR331" s="94"/>
      <c r="BS331" s="94"/>
      <c r="BT331" s="94"/>
      <c r="BU331" s="94"/>
      <c r="BV331" s="94"/>
      <c r="BW331" s="94"/>
      <c r="BX331" s="94"/>
      <c r="BY331" s="94"/>
      <c r="BZ331" s="94"/>
      <c r="CA331" s="94"/>
      <c r="CB331" s="94"/>
      <c r="CC331" s="94"/>
      <c r="CD331" s="94"/>
      <c r="CE331" s="94"/>
      <c r="CF331" s="94"/>
      <c r="CG331" s="94"/>
      <c r="CH331" s="94"/>
      <c r="CI331" s="94"/>
      <c r="CJ331" s="94"/>
      <c r="CK331" s="94"/>
      <c r="CL331" s="94"/>
      <c r="CM331" s="94"/>
      <c r="CN331" s="94"/>
      <c r="CO331" s="94"/>
      <c r="CP331" s="94"/>
      <c r="CQ331" s="94"/>
      <c r="CR331" s="94"/>
      <c r="CS331" s="94"/>
      <c r="CT331" s="94"/>
      <c r="CU331" s="94"/>
      <c r="CV331" s="94"/>
      <c r="CW331" s="94"/>
      <c r="CX331" s="94"/>
      <c r="CY331" s="94"/>
      <c r="CZ331" s="94"/>
      <c r="DA331" s="94"/>
      <c r="DB331" s="94"/>
      <c r="DC331" s="94"/>
      <c r="DD331" s="94"/>
      <c r="DE331" s="94"/>
      <c r="DF331" s="94"/>
      <c r="DG331" s="94"/>
      <c r="DH331" s="94"/>
      <c r="DI331" s="94"/>
      <c r="DJ331" s="94"/>
      <c r="DK331" s="94"/>
      <c r="DL331" s="94"/>
      <c r="DM331" s="94"/>
      <c r="DN331" s="94"/>
      <c r="DO331" s="94"/>
      <c r="DP331" s="94"/>
      <c r="DQ331" s="94"/>
      <c r="DR331" s="94"/>
      <c r="DS331" s="94"/>
      <c r="DT331" s="94"/>
      <c r="DU331" s="94"/>
      <c r="DV331" s="94"/>
      <c r="DW331" s="94"/>
      <c r="DX331" s="94"/>
      <c r="DY331" s="94"/>
      <c r="DZ331" s="94"/>
      <c r="EA331" s="94"/>
      <c r="EB331" s="94"/>
      <c r="EC331" s="94"/>
      <c r="ED331" s="94"/>
      <c r="EE331" s="94"/>
      <c r="EF331" s="94"/>
      <c r="EG331" s="94"/>
      <c r="EH331" s="94"/>
      <c r="EI331" s="94"/>
      <c r="EJ331" s="94"/>
      <c r="EK331" s="94"/>
      <c r="EL331" s="94"/>
      <c r="EM331" s="94"/>
      <c r="EN331" s="94"/>
      <c r="EO331" s="94"/>
      <c r="EP331" s="94"/>
      <c r="EQ331" s="94"/>
      <c r="ER331" s="94"/>
      <c r="ES331" s="94"/>
      <c r="ET331" s="94"/>
      <c r="EU331" s="94"/>
      <c r="EV331" s="94"/>
      <c r="EW331" s="94"/>
      <c r="EX331" s="94"/>
      <c r="EY331" s="94"/>
      <c r="EZ331" s="94"/>
      <c r="FA331" s="94"/>
      <c r="FB331" s="94"/>
      <c r="FC331" s="94"/>
      <c r="FD331" s="94"/>
      <c r="FE331" s="94"/>
      <c r="FF331" s="94"/>
      <c r="FG331" s="94"/>
      <c r="FH331" s="94"/>
      <c r="FI331" s="94"/>
      <c r="FJ331" s="94"/>
      <c r="FK331" s="94"/>
      <c r="FL331" s="94"/>
      <c r="FM331" s="94"/>
      <c r="FN331" s="94"/>
      <c r="FO331" s="94"/>
      <c r="FP331" s="94"/>
      <c r="FQ331" s="94"/>
      <c r="FR331" s="94"/>
      <c r="FS331" s="94"/>
      <c r="FT331" s="94"/>
      <c r="FU331" s="94"/>
    </row>
    <row r="332" spans="1:177" ht="21" customHeight="1" x14ac:dyDescent="0.2">
      <c r="B332" s="51">
        <v>1</v>
      </c>
      <c r="C332" s="77" t="s">
        <v>42</v>
      </c>
      <c r="D332" s="51">
        <v>11167</v>
      </c>
      <c r="E332" s="77" t="s">
        <v>466</v>
      </c>
      <c r="F332" s="79" t="s">
        <v>467</v>
      </c>
      <c r="G332" s="240">
        <v>42893</v>
      </c>
      <c r="H332" s="56" t="str">
        <f t="shared" ref="H332:H337" si="441" xml:space="preserve"> CONCATENATE(DATEDIF(G332,H$5,"Y")," AÑOS")</f>
        <v>7 AÑOS</v>
      </c>
      <c r="I332" s="75">
        <v>8731.4525471738743</v>
      </c>
      <c r="J332" s="75"/>
      <c r="K332" s="75"/>
      <c r="L332" s="137"/>
      <c r="M332" s="60">
        <v>4.0000000000000002E-4</v>
      </c>
      <c r="N332" s="61">
        <f t="shared" ref="N332:N337" si="442">I332*0.04</f>
        <v>349.25810188695499</v>
      </c>
      <c r="O332" s="58">
        <f t="shared" ref="O332:O337" si="443">I332+N332</f>
        <v>9080.7106490608294</v>
      </c>
      <c r="P332" s="61">
        <f t="shared" ref="P332:P337" si="444">O332*2</f>
        <v>18161.421298121659</v>
      </c>
      <c r="Q332" s="61">
        <f t="shared" ref="Q332:Q337" si="445">P332*0.75</f>
        <v>13621.065973591245</v>
      </c>
      <c r="R332" s="61">
        <f t="shared" ref="R332:R337" si="446">P332*0.25</f>
        <v>4540.3553245304147</v>
      </c>
      <c r="S332" s="61">
        <f t="shared" ref="S332:S337" si="447">(P332/30)</f>
        <v>605.38070993738859</v>
      </c>
      <c r="T332" s="58">
        <f t="shared" si="429"/>
        <v>694.91651693712834</v>
      </c>
      <c r="U332" s="61">
        <f t="shared" ref="U332:U337" si="448">O332*0.75</f>
        <v>6810.5329867956225</v>
      </c>
      <c r="V332" s="58">
        <f t="shared" ref="V332:V337" si="449">O332*0.25</f>
        <v>2270.1776622652073</v>
      </c>
      <c r="W332" s="62">
        <v>0</v>
      </c>
      <c r="X332" s="63">
        <f t="shared" ref="X332:X337" si="450">P332*W332</f>
        <v>0</v>
      </c>
      <c r="Y332" s="61">
        <v>1320.595918467551</v>
      </c>
      <c r="Z332" s="61">
        <v>0</v>
      </c>
      <c r="AA332" s="61">
        <f t="shared" ref="AA332:AA337" si="451">(S332*45)/12</f>
        <v>2270.1776622652073</v>
      </c>
      <c r="AB332" s="61">
        <f t="shared" ref="AB332:AB337" si="452">(S332*10)*(0.45*2)/12</f>
        <v>454.03553245304147</v>
      </c>
      <c r="AC332" s="61">
        <v>2774.2982676240249</v>
      </c>
      <c r="AD332" s="61">
        <v>1821.4109367180599</v>
      </c>
      <c r="AE332" s="61">
        <v>1077.1206012525488</v>
      </c>
      <c r="AF332" s="61">
        <v>0</v>
      </c>
      <c r="AG332" s="61">
        <f t="shared" ref="AG332:AG337" si="453">(P332+AA332+AB332)*0.03</f>
        <v>626.56903478519723</v>
      </c>
      <c r="AH332" s="64"/>
      <c r="AI332" s="64"/>
      <c r="AJ332" s="51">
        <v>1</v>
      </c>
      <c r="AK332" s="77" t="s">
        <v>42</v>
      </c>
      <c r="AL332" s="51">
        <v>11167</v>
      </c>
      <c r="AM332" s="77" t="s">
        <v>466</v>
      </c>
      <c r="AN332" s="79" t="s">
        <v>467</v>
      </c>
      <c r="AO332" s="138">
        <f t="shared" ref="AO332:AP337" si="454">Q332*12</f>
        <v>163452.79168309493</v>
      </c>
      <c r="AP332" s="65">
        <f t="shared" si="454"/>
        <v>54484.26389436498</v>
      </c>
      <c r="AQ332" s="65">
        <f t="shared" ref="AQ332:AZ337" si="455">X332*12</f>
        <v>0</v>
      </c>
      <c r="AR332" s="65">
        <f t="shared" si="455"/>
        <v>15847.151021610611</v>
      </c>
      <c r="AS332" s="65">
        <f t="shared" si="455"/>
        <v>0</v>
      </c>
      <c r="AT332" s="65">
        <f t="shared" si="455"/>
        <v>27242.13194718249</v>
      </c>
      <c r="AU332" s="65">
        <f t="shared" si="455"/>
        <v>5448.4263894364976</v>
      </c>
      <c r="AV332" s="65">
        <f t="shared" si="455"/>
        <v>33291.579211488301</v>
      </c>
      <c r="AW332" s="65">
        <f t="shared" si="455"/>
        <v>21856.931240616719</v>
      </c>
      <c r="AX332" s="65">
        <f t="shared" si="455"/>
        <v>12925.447215030585</v>
      </c>
      <c r="AY332" s="65">
        <f t="shared" si="455"/>
        <v>0</v>
      </c>
      <c r="AZ332" s="65">
        <f t="shared" si="455"/>
        <v>7518.8284174223663</v>
      </c>
      <c r="BB332" s="64"/>
      <c r="BC332" s="66"/>
      <c r="BD332" s="66"/>
      <c r="BE332" s="66"/>
    </row>
    <row r="333" spans="1:177" ht="21" customHeight="1" x14ac:dyDescent="0.2">
      <c r="B333" s="67">
        <v>2</v>
      </c>
      <c r="C333" s="73" t="s">
        <v>42</v>
      </c>
      <c r="D333" s="67">
        <v>11169</v>
      </c>
      <c r="E333" s="72" t="s">
        <v>468</v>
      </c>
      <c r="F333" s="72" t="s">
        <v>469</v>
      </c>
      <c r="G333" s="55">
        <v>43383</v>
      </c>
      <c r="H333" s="56" t="str">
        <f t="shared" si="441"/>
        <v>6 AÑOS</v>
      </c>
      <c r="I333" s="57">
        <v>16987.628463799967</v>
      </c>
      <c r="J333" s="58"/>
      <c r="K333" s="58"/>
      <c r="L333" s="59"/>
      <c r="M333" s="60">
        <v>4.0000000000000002E-4</v>
      </c>
      <c r="N333" s="61">
        <f t="shared" si="442"/>
        <v>679.5051385519987</v>
      </c>
      <c r="O333" s="58">
        <f t="shared" si="443"/>
        <v>17667.133602351965</v>
      </c>
      <c r="P333" s="61">
        <f t="shared" si="444"/>
        <v>35334.26720470393</v>
      </c>
      <c r="Q333" s="61">
        <f t="shared" si="445"/>
        <v>26500.700403527946</v>
      </c>
      <c r="R333" s="61">
        <f t="shared" si="446"/>
        <v>8833.5668011759826</v>
      </c>
      <c r="S333" s="61">
        <f t="shared" si="447"/>
        <v>1177.8089068234644</v>
      </c>
      <c r="T333" s="58">
        <f t="shared" si="429"/>
        <v>1352.0068441426547</v>
      </c>
      <c r="U333" s="61">
        <f t="shared" si="448"/>
        <v>13250.350201763973</v>
      </c>
      <c r="V333" s="58">
        <f t="shared" si="449"/>
        <v>4416.7834005879913</v>
      </c>
      <c r="W333" s="62">
        <v>0</v>
      </c>
      <c r="X333" s="63">
        <f t="shared" si="450"/>
        <v>0</v>
      </c>
      <c r="Y333" s="61">
        <v>4014.4256541935692</v>
      </c>
      <c r="Z333" s="61">
        <v>0</v>
      </c>
      <c r="AA333" s="61">
        <f t="shared" si="451"/>
        <v>4416.7834005879913</v>
      </c>
      <c r="AB333" s="61">
        <f t="shared" si="452"/>
        <v>883.35668011759833</v>
      </c>
      <c r="AC333" s="61">
        <v>4879.0343481780528</v>
      </c>
      <c r="AD333" s="61">
        <v>3543.6775388401052</v>
      </c>
      <c r="AE333" s="61">
        <v>2095.6106084211146</v>
      </c>
      <c r="AF333" s="61">
        <v>0</v>
      </c>
      <c r="AG333" s="61">
        <f t="shared" si="453"/>
        <v>1219.0322185622856</v>
      </c>
      <c r="AH333" s="64"/>
      <c r="AI333" s="64"/>
      <c r="AJ333" s="67">
        <v>2</v>
      </c>
      <c r="AK333" s="73" t="s">
        <v>42</v>
      </c>
      <c r="AL333" s="67">
        <v>11169</v>
      </c>
      <c r="AM333" s="72" t="s">
        <v>468</v>
      </c>
      <c r="AN333" s="72" t="s">
        <v>469</v>
      </c>
      <c r="AO333" s="138">
        <f t="shared" si="454"/>
        <v>318008.40484233538</v>
      </c>
      <c r="AP333" s="65">
        <f t="shared" si="454"/>
        <v>106002.80161411178</v>
      </c>
      <c r="AQ333" s="65">
        <f t="shared" si="455"/>
        <v>0</v>
      </c>
      <c r="AR333" s="65">
        <f t="shared" si="455"/>
        <v>48173.107850322835</v>
      </c>
      <c r="AS333" s="65">
        <f t="shared" si="455"/>
        <v>0</v>
      </c>
      <c r="AT333" s="65">
        <f t="shared" si="455"/>
        <v>53001.400807055892</v>
      </c>
      <c r="AU333" s="65">
        <f t="shared" si="455"/>
        <v>10600.28016141118</v>
      </c>
      <c r="AV333" s="65">
        <f t="shared" si="455"/>
        <v>58548.412178136634</v>
      </c>
      <c r="AW333" s="65">
        <f t="shared" si="455"/>
        <v>42524.13046608126</v>
      </c>
      <c r="AX333" s="65">
        <f t="shared" si="455"/>
        <v>25147.327301053374</v>
      </c>
      <c r="AY333" s="65">
        <f t="shared" si="455"/>
        <v>0</v>
      </c>
      <c r="AZ333" s="65">
        <f t="shared" si="455"/>
        <v>14628.386622747428</v>
      </c>
      <c r="BB333" s="64"/>
      <c r="BC333" s="66"/>
      <c r="BD333" s="66"/>
      <c r="BE333" s="66"/>
    </row>
    <row r="334" spans="1:177" ht="21" customHeight="1" x14ac:dyDescent="0.2">
      <c r="B334" s="67">
        <v>3</v>
      </c>
      <c r="C334" s="73" t="s">
        <v>42</v>
      </c>
      <c r="D334" s="67">
        <v>11176</v>
      </c>
      <c r="E334" s="73" t="s">
        <v>470</v>
      </c>
      <c r="F334" s="72" t="s">
        <v>471</v>
      </c>
      <c r="G334" s="169">
        <v>43633</v>
      </c>
      <c r="H334" s="56" t="str">
        <f t="shared" si="441"/>
        <v>5 AÑOS</v>
      </c>
      <c r="I334" s="57">
        <v>8245.3547903999988</v>
      </c>
      <c r="J334" s="58"/>
      <c r="K334" s="58"/>
      <c r="L334" s="59"/>
      <c r="M334" s="60">
        <v>4.0000000000000002E-4</v>
      </c>
      <c r="N334" s="61">
        <f t="shared" si="442"/>
        <v>329.81419161599996</v>
      </c>
      <c r="O334" s="58">
        <f t="shared" si="443"/>
        <v>8575.1689820159991</v>
      </c>
      <c r="P334" s="61">
        <f t="shared" si="444"/>
        <v>17150.337964031998</v>
      </c>
      <c r="Q334" s="61">
        <f t="shared" si="445"/>
        <v>12862.753473023999</v>
      </c>
      <c r="R334" s="61">
        <f t="shared" si="446"/>
        <v>4287.5844910079995</v>
      </c>
      <c r="S334" s="61">
        <f t="shared" si="447"/>
        <v>571.67793213439995</v>
      </c>
      <c r="T334" s="58">
        <f t="shared" si="429"/>
        <v>656.22909829707771</v>
      </c>
      <c r="U334" s="61">
        <f t="shared" si="448"/>
        <v>6431.3767365119993</v>
      </c>
      <c r="V334" s="58">
        <f t="shared" si="449"/>
        <v>2143.7922455039998</v>
      </c>
      <c r="W334" s="62">
        <v>0</v>
      </c>
      <c r="X334" s="63">
        <f t="shared" si="450"/>
        <v>0</v>
      </c>
      <c r="Y334" s="61">
        <v>1184.7063183659004</v>
      </c>
      <c r="Z334" s="61">
        <v>0</v>
      </c>
      <c r="AA334" s="61">
        <f t="shared" si="451"/>
        <v>2143.7922455039998</v>
      </c>
      <c r="AB334" s="61">
        <f t="shared" si="452"/>
        <v>428.75844910079996</v>
      </c>
      <c r="AC334" s="61">
        <v>2650.3780050605733</v>
      </c>
      <c r="AD334" s="61">
        <v>1720.0092780915556</v>
      </c>
      <c r="AE334" s="61">
        <v>1017.1551023604706</v>
      </c>
      <c r="AF334" s="61">
        <v>0</v>
      </c>
      <c r="AG334" s="61">
        <f t="shared" si="453"/>
        <v>591.6866597591038</v>
      </c>
      <c r="AH334" s="64"/>
      <c r="AI334" s="64"/>
      <c r="AJ334" s="67">
        <v>3</v>
      </c>
      <c r="AK334" s="73" t="s">
        <v>42</v>
      </c>
      <c r="AL334" s="67">
        <v>11176</v>
      </c>
      <c r="AM334" s="73" t="s">
        <v>470</v>
      </c>
      <c r="AN334" s="72" t="s">
        <v>471</v>
      </c>
      <c r="AO334" s="138">
        <f t="shared" si="454"/>
        <v>154353.04167628798</v>
      </c>
      <c r="AP334" s="65">
        <f t="shared" si="454"/>
        <v>51451.013892095994</v>
      </c>
      <c r="AQ334" s="65">
        <f t="shared" si="455"/>
        <v>0</v>
      </c>
      <c r="AR334" s="65">
        <f t="shared" si="455"/>
        <v>14216.475820390806</v>
      </c>
      <c r="AS334" s="65">
        <f t="shared" si="455"/>
        <v>0</v>
      </c>
      <c r="AT334" s="65">
        <f t="shared" si="455"/>
        <v>25725.506946047997</v>
      </c>
      <c r="AU334" s="65">
        <f t="shared" si="455"/>
        <v>5145.1013892095998</v>
      </c>
      <c r="AV334" s="65">
        <f t="shared" si="455"/>
        <v>31804.536060726881</v>
      </c>
      <c r="AW334" s="65">
        <f t="shared" si="455"/>
        <v>20640.111337098668</v>
      </c>
      <c r="AX334" s="65">
        <f t="shared" si="455"/>
        <v>12205.861228325646</v>
      </c>
      <c r="AY334" s="65">
        <f t="shared" si="455"/>
        <v>0</v>
      </c>
      <c r="AZ334" s="65">
        <f t="shared" si="455"/>
        <v>7100.2399171092457</v>
      </c>
      <c r="BB334" s="64"/>
      <c r="BC334" s="66"/>
      <c r="BD334" s="66"/>
      <c r="BE334" s="66"/>
    </row>
    <row r="335" spans="1:177" ht="21" customHeight="1" x14ac:dyDescent="0.2">
      <c r="B335" s="51">
        <v>4</v>
      </c>
      <c r="C335" s="73" t="s">
        <v>42</v>
      </c>
      <c r="D335" s="67">
        <v>11125</v>
      </c>
      <c r="E335" s="112" t="s">
        <v>472</v>
      </c>
      <c r="F335" s="79" t="s">
        <v>473</v>
      </c>
      <c r="G335" s="55">
        <v>39692</v>
      </c>
      <c r="H335" s="56" t="str">
        <f t="shared" si="441"/>
        <v>16 AÑOS</v>
      </c>
      <c r="I335" s="57">
        <v>8245.3492731233946</v>
      </c>
      <c r="J335" s="58"/>
      <c r="K335" s="58"/>
      <c r="L335" s="59"/>
      <c r="M335" s="60">
        <v>4.0000000000000002E-4</v>
      </c>
      <c r="N335" s="61">
        <f t="shared" si="442"/>
        <v>329.8139709249358</v>
      </c>
      <c r="O335" s="58">
        <f t="shared" si="443"/>
        <v>8575.1632440483299</v>
      </c>
      <c r="P335" s="61">
        <f t="shared" si="444"/>
        <v>17150.32648809666</v>
      </c>
      <c r="Q335" s="61">
        <f t="shared" si="445"/>
        <v>12862.744866072495</v>
      </c>
      <c r="R335" s="61">
        <f t="shared" si="446"/>
        <v>4287.581622024165</v>
      </c>
      <c r="S335" s="61">
        <f t="shared" si="447"/>
        <v>571.67754960322202</v>
      </c>
      <c r="T335" s="58">
        <f t="shared" si="429"/>
        <v>656.22865918953846</v>
      </c>
      <c r="U335" s="61">
        <f t="shared" si="448"/>
        <v>6431.3724330362475</v>
      </c>
      <c r="V335" s="58">
        <f t="shared" si="449"/>
        <v>2143.7908110120825</v>
      </c>
      <c r="W335" s="62">
        <v>0</v>
      </c>
      <c r="X335" s="63">
        <f t="shared" si="450"/>
        <v>0</v>
      </c>
      <c r="Y335" s="61">
        <v>1184.7047760001908</v>
      </c>
      <c r="Z335" s="61">
        <v>0</v>
      </c>
      <c r="AA335" s="61">
        <f t="shared" si="451"/>
        <v>2143.7908110120825</v>
      </c>
      <c r="AB335" s="61">
        <f t="shared" si="452"/>
        <v>428.75816220241654</v>
      </c>
      <c r="AC335" s="61">
        <v>2650.3765985484961</v>
      </c>
      <c r="AD335" s="61">
        <v>1720.0081271687395</v>
      </c>
      <c r="AE335" s="61">
        <v>1017.1544217437846</v>
      </c>
      <c r="AF335" s="61">
        <v>0</v>
      </c>
      <c r="AG335" s="61">
        <f t="shared" si="453"/>
        <v>591.68626383933474</v>
      </c>
      <c r="AH335" s="64"/>
      <c r="AI335" s="64"/>
      <c r="AJ335" s="51">
        <v>4</v>
      </c>
      <c r="AK335" s="73" t="s">
        <v>42</v>
      </c>
      <c r="AL335" s="67">
        <v>11125</v>
      </c>
      <c r="AM335" s="112" t="s">
        <v>472</v>
      </c>
      <c r="AN335" s="79" t="s">
        <v>473</v>
      </c>
      <c r="AO335" s="138">
        <f t="shared" si="454"/>
        <v>154352.93839286995</v>
      </c>
      <c r="AP335" s="65">
        <f t="shared" si="454"/>
        <v>51450.97946428998</v>
      </c>
      <c r="AQ335" s="65">
        <f t="shared" si="455"/>
        <v>0</v>
      </c>
      <c r="AR335" s="65">
        <f t="shared" si="455"/>
        <v>14216.457312002291</v>
      </c>
      <c r="AS335" s="65">
        <f t="shared" si="455"/>
        <v>0</v>
      </c>
      <c r="AT335" s="65">
        <f t="shared" si="455"/>
        <v>25725.48973214499</v>
      </c>
      <c r="AU335" s="65">
        <f t="shared" si="455"/>
        <v>5145.0979464289985</v>
      </c>
      <c r="AV335" s="65">
        <f t="shared" si="455"/>
        <v>31804.519182581953</v>
      </c>
      <c r="AW335" s="65">
        <f t="shared" si="455"/>
        <v>20640.097526024874</v>
      </c>
      <c r="AX335" s="65">
        <f t="shared" si="455"/>
        <v>12205.853060925416</v>
      </c>
      <c r="AY335" s="65">
        <f t="shared" si="455"/>
        <v>0</v>
      </c>
      <c r="AZ335" s="65">
        <f t="shared" si="455"/>
        <v>7100.2351660720169</v>
      </c>
      <c r="BB335" s="64"/>
      <c r="BC335" s="66"/>
      <c r="BD335" s="66"/>
      <c r="BE335" s="66"/>
    </row>
    <row r="336" spans="1:177" ht="21" customHeight="1" x14ac:dyDescent="0.2">
      <c r="B336" s="67">
        <v>5</v>
      </c>
      <c r="C336" s="73" t="s">
        <v>42</v>
      </c>
      <c r="D336" s="67">
        <v>12048</v>
      </c>
      <c r="E336" s="112" t="s">
        <v>474</v>
      </c>
      <c r="F336" s="112" t="s">
        <v>475</v>
      </c>
      <c r="G336" s="55">
        <v>39098</v>
      </c>
      <c r="H336" s="56" t="str">
        <f t="shared" si="441"/>
        <v>17 AÑOS</v>
      </c>
      <c r="I336" s="57">
        <v>10603.682706115656</v>
      </c>
      <c r="J336" s="58"/>
      <c r="K336" s="58"/>
      <c r="L336" s="59"/>
      <c r="M336" s="60">
        <v>4.0000000000000002E-4</v>
      </c>
      <c r="N336" s="61">
        <f t="shared" si="442"/>
        <v>424.14730824462629</v>
      </c>
      <c r="O336" s="58">
        <f t="shared" si="443"/>
        <v>11027.830014360283</v>
      </c>
      <c r="P336" s="61">
        <f t="shared" si="444"/>
        <v>22055.660028720566</v>
      </c>
      <c r="Q336" s="61">
        <f t="shared" si="445"/>
        <v>16541.745021540424</v>
      </c>
      <c r="R336" s="61">
        <f t="shared" si="446"/>
        <v>5513.9150071801414</v>
      </c>
      <c r="S336" s="61">
        <f t="shared" si="447"/>
        <v>735.18866762401888</v>
      </c>
      <c r="T336" s="58">
        <f t="shared" si="429"/>
        <v>843.92307156561117</v>
      </c>
      <c r="U336" s="61">
        <f t="shared" si="448"/>
        <v>8270.8725107702121</v>
      </c>
      <c r="V336" s="58">
        <f t="shared" si="449"/>
        <v>2756.9575035900707</v>
      </c>
      <c r="W336" s="62">
        <v>0</v>
      </c>
      <c r="X336" s="63">
        <f t="shared" si="450"/>
        <v>0</v>
      </c>
      <c r="Y336" s="61">
        <v>1887.1927846010346</v>
      </c>
      <c r="Z336" s="61">
        <v>0</v>
      </c>
      <c r="AA336" s="61">
        <f t="shared" si="451"/>
        <v>2756.9575035900707</v>
      </c>
      <c r="AB336" s="61">
        <f t="shared" si="452"/>
        <v>551.39150071801419</v>
      </c>
      <c r="AC336" s="61">
        <v>3251.5834425548042</v>
      </c>
      <c r="AD336" s="61">
        <v>2211.9645667270452</v>
      </c>
      <c r="AE336" s="61">
        <v>1308.0807609266974</v>
      </c>
      <c r="AF336" s="61">
        <v>0</v>
      </c>
      <c r="AG336" s="61">
        <f t="shared" si="453"/>
        <v>760.92027099085954</v>
      </c>
      <c r="AH336" s="64"/>
      <c r="AI336" s="64"/>
      <c r="AJ336" s="67">
        <v>5</v>
      </c>
      <c r="AK336" s="73" t="s">
        <v>42</v>
      </c>
      <c r="AL336" s="67">
        <v>12048</v>
      </c>
      <c r="AM336" s="112" t="s">
        <v>474</v>
      </c>
      <c r="AN336" s="112" t="s">
        <v>475</v>
      </c>
      <c r="AO336" s="138">
        <f t="shared" si="454"/>
        <v>198500.94025848509</v>
      </c>
      <c r="AP336" s="65">
        <f t="shared" si="454"/>
        <v>66166.980086161697</v>
      </c>
      <c r="AQ336" s="65">
        <f t="shared" si="455"/>
        <v>0</v>
      </c>
      <c r="AR336" s="65">
        <f t="shared" si="455"/>
        <v>22646.313415212415</v>
      </c>
      <c r="AS336" s="65">
        <f t="shared" si="455"/>
        <v>0</v>
      </c>
      <c r="AT336" s="65">
        <f t="shared" si="455"/>
        <v>33083.490043080848</v>
      </c>
      <c r="AU336" s="65">
        <f t="shared" si="455"/>
        <v>6616.6980086161702</v>
      </c>
      <c r="AV336" s="65">
        <f t="shared" si="455"/>
        <v>39019.001310657652</v>
      </c>
      <c r="AW336" s="65">
        <f t="shared" si="455"/>
        <v>26543.574800724542</v>
      </c>
      <c r="AX336" s="65">
        <f t="shared" si="455"/>
        <v>15696.969131120368</v>
      </c>
      <c r="AY336" s="65">
        <f t="shared" si="455"/>
        <v>0</v>
      </c>
      <c r="AZ336" s="65">
        <f t="shared" si="455"/>
        <v>9131.0432518903144</v>
      </c>
      <c r="BB336" s="64"/>
      <c r="BC336" s="66"/>
      <c r="BD336" s="66"/>
      <c r="BE336" s="66"/>
    </row>
    <row r="337" spans="1:177" ht="21" customHeight="1" x14ac:dyDescent="0.2">
      <c r="B337" s="67">
        <v>6</v>
      </c>
      <c r="C337" s="73" t="s">
        <v>42</v>
      </c>
      <c r="D337" s="67">
        <v>11170</v>
      </c>
      <c r="E337" s="72" t="s">
        <v>476</v>
      </c>
      <c r="F337" s="72" t="s">
        <v>477</v>
      </c>
      <c r="G337" s="55">
        <v>43466</v>
      </c>
      <c r="H337" s="56" t="str">
        <f t="shared" si="441"/>
        <v>5 AÑOS</v>
      </c>
      <c r="I337" s="57">
        <v>13454.500221143389</v>
      </c>
      <c r="J337" s="58"/>
      <c r="K337" s="58"/>
      <c r="L337" s="59"/>
      <c r="M337" s="60">
        <v>4.0000000000000002E-4</v>
      </c>
      <c r="N337" s="61">
        <f t="shared" si="442"/>
        <v>538.18000884573553</v>
      </c>
      <c r="O337" s="58">
        <f t="shared" si="443"/>
        <v>13992.680229989124</v>
      </c>
      <c r="P337" s="61">
        <f t="shared" si="444"/>
        <v>27985.360459978248</v>
      </c>
      <c r="Q337" s="61">
        <f t="shared" si="445"/>
        <v>20989.020344983684</v>
      </c>
      <c r="R337" s="61">
        <f t="shared" si="446"/>
        <v>6996.3401149945621</v>
      </c>
      <c r="S337" s="61">
        <f t="shared" si="447"/>
        <v>932.84534866594163</v>
      </c>
      <c r="T337" s="58">
        <f t="shared" si="429"/>
        <v>1070.8131757336344</v>
      </c>
      <c r="U337" s="61">
        <f t="shared" si="448"/>
        <v>10494.510172491842</v>
      </c>
      <c r="V337" s="58">
        <f t="shared" si="449"/>
        <v>3498.1700574972811</v>
      </c>
      <c r="W337" s="62">
        <v>0</v>
      </c>
      <c r="X337" s="63">
        <f t="shared" si="450"/>
        <v>0</v>
      </c>
      <c r="Y337" s="61">
        <v>2837.130793688515</v>
      </c>
      <c r="Z337" s="61">
        <v>0</v>
      </c>
      <c r="AA337" s="61">
        <f t="shared" si="451"/>
        <v>3498.1700574972815</v>
      </c>
      <c r="AB337" s="61">
        <f t="shared" si="452"/>
        <v>699.63401149945628</v>
      </c>
      <c r="AC337" s="61">
        <v>3978.3386066339926</v>
      </c>
      <c r="AD337" s="61">
        <v>2806.654874256642</v>
      </c>
      <c r="AE337" s="61">
        <v>1659.7604223871331</v>
      </c>
      <c r="AF337" s="61">
        <v>0</v>
      </c>
      <c r="AG337" s="61">
        <f t="shared" si="453"/>
        <v>965.49493586924962</v>
      </c>
      <c r="AH337" s="64"/>
      <c r="AI337" s="64"/>
      <c r="AJ337" s="67">
        <v>6</v>
      </c>
      <c r="AK337" s="73" t="s">
        <v>42</v>
      </c>
      <c r="AL337" s="67">
        <v>11170</v>
      </c>
      <c r="AM337" s="72" t="s">
        <v>476</v>
      </c>
      <c r="AN337" s="72" t="s">
        <v>477</v>
      </c>
      <c r="AO337" s="138">
        <f t="shared" si="454"/>
        <v>251868.24413980421</v>
      </c>
      <c r="AP337" s="65">
        <f t="shared" si="454"/>
        <v>83956.081379934738</v>
      </c>
      <c r="AQ337" s="65">
        <f t="shared" si="455"/>
        <v>0</v>
      </c>
      <c r="AR337" s="65">
        <f t="shared" si="455"/>
        <v>34045.56952426218</v>
      </c>
      <c r="AS337" s="65">
        <f t="shared" si="455"/>
        <v>0</v>
      </c>
      <c r="AT337" s="65">
        <f t="shared" si="455"/>
        <v>41978.040689967376</v>
      </c>
      <c r="AU337" s="65">
        <f t="shared" si="455"/>
        <v>8395.6081379934749</v>
      </c>
      <c r="AV337" s="65">
        <f t="shared" si="455"/>
        <v>47740.063279607915</v>
      </c>
      <c r="AW337" s="65">
        <f t="shared" si="455"/>
        <v>33679.858491079707</v>
      </c>
      <c r="AX337" s="65">
        <f t="shared" si="455"/>
        <v>19917.125068645597</v>
      </c>
      <c r="AY337" s="65">
        <f t="shared" si="455"/>
        <v>0</v>
      </c>
      <c r="AZ337" s="65">
        <f t="shared" si="455"/>
        <v>11585.939230430995</v>
      </c>
      <c r="BB337" s="64"/>
      <c r="BC337" s="66"/>
      <c r="BD337" s="66"/>
      <c r="BE337" s="66"/>
    </row>
    <row r="338" spans="1:177" s="96" customFormat="1" ht="21" customHeight="1" x14ac:dyDescent="0.2">
      <c r="A338" s="50"/>
      <c r="B338" s="468" t="s">
        <v>65</v>
      </c>
      <c r="C338" s="469"/>
      <c r="D338" s="469"/>
      <c r="E338" s="469"/>
      <c r="F338" s="470"/>
      <c r="G338" s="139"/>
      <c r="H338" s="90"/>
      <c r="I338" s="91">
        <f>SUM(I332:I337)</f>
        <v>66267.968001756279</v>
      </c>
      <c r="J338" s="91">
        <f t="shared" ref="J338:AG338" si="456">SUM(J332:J337)</f>
        <v>0</v>
      </c>
      <c r="K338" s="91">
        <f t="shared" si="456"/>
        <v>0</v>
      </c>
      <c r="L338" s="91">
        <f t="shared" si="456"/>
        <v>0</v>
      </c>
      <c r="M338" s="91">
        <f t="shared" si="456"/>
        <v>2.4000000000000002E-3</v>
      </c>
      <c r="N338" s="91">
        <f t="shared" si="456"/>
        <v>2650.718720070251</v>
      </c>
      <c r="O338" s="91">
        <f t="shared" si="456"/>
        <v>68918.686721826525</v>
      </c>
      <c r="P338" s="91">
        <f t="shared" si="456"/>
        <v>137837.37344365305</v>
      </c>
      <c r="Q338" s="91">
        <f t="shared" si="456"/>
        <v>103378.03008273979</v>
      </c>
      <c r="R338" s="91">
        <f t="shared" si="456"/>
        <v>34459.343360913263</v>
      </c>
      <c r="S338" s="91">
        <f t="shared" si="456"/>
        <v>4594.5791147884356</v>
      </c>
      <c r="T338" s="91">
        <f t="shared" si="456"/>
        <v>5274.1173658656444</v>
      </c>
      <c r="U338" s="91">
        <f t="shared" si="456"/>
        <v>51689.015041369894</v>
      </c>
      <c r="V338" s="91">
        <f t="shared" si="456"/>
        <v>17229.671680456631</v>
      </c>
      <c r="W338" s="91">
        <f t="shared" si="456"/>
        <v>0</v>
      </c>
      <c r="X338" s="91">
        <f t="shared" si="456"/>
        <v>0</v>
      </c>
      <c r="Y338" s="91">
        <f t="shared" si="456"/>
        <v>12428.756245316761</v>
      </c>
      <c r="Z338" s="91">
        <f t="shared" si="456"/>
        <v>0</v>
      </c>
      <c r="AA338" s="91">
        <f t="shared" si="456"/>
        <v>17229.671680456631</v>
      </c>
      <c r="AB338" s="91">
        <f t="shared" si="456"/>
        <v>3445.9343360913272</v>
      </c>
      <c r="AC338" s="91">
        <f t="shared" si="456"/>
        <v>20184.009268599944</v>
      </c>
      <c r="AD338" s="91">
        <f t="shared" si="456"/>
        <v>13823.725321802147</v>
      </c>
      <c r="AE338" s="91">
        <f t="shared" si="456"/>
        <v>8174.8819170917495</v>
      </c>
      <c r="AF338" s="91">
        <f t="shared" si="456"/>
        <v>0</v>
      </c>
      <c r="AG338" s="91">
        <f t="shared" si="456"/>
        <v>4755.3893838060303</v>
      </c>
      <c r="AH338" s="92"/>
      <c r="AI338" s="92"/>
      <c r="AJ338" s="468" t="s">
        <v>65</v>
      </c>
      <c r="AK338" s="469"/>
      <c r="AL338" s="469"/>
      <c r="AM338" s="469"/>
      <c r="AN338" s="470"/>
      <c r="AO338" s="144">
        <f>SUM(AO332:AO337)+110250.01</f>
        <v>1350786.3709928775</v>
      </c>
      <c r="AP338" s="144">
        <f>SUM(AP332:AP337)+36750</f>
        <v>450262.12033095915</v>
      </c>
      <c r="AQ338" s="144">
        <f t="shared" ref="AQ338:AY338" si="457">SUM(AQ332:AQ337)</f>
        <v>0</v>
      </c>
      <c r="AR338" s="144">
        <f>SUM(AR332:AR337)+9764.61</f>
        <v>158909.68494380114</v>
      </c>
      <c r="AS338" s="144">
        <f t="shared" si="457"/>
        <v>0</v>
      </c>
      <c r="AT338" s="144">
        <f>SUM(AT332:AT337)+18375</f>
        <v>225131.06016547958</v>
      </c>
      <c r="AU338" s="144">
        <f>SUM(AU332:AU337)+3675</f>
        <v>45026.212033095922</v>
      </c>
      <c r="AV338" s="144">
        <f>SUM(AV332:AV337)+22952.2</f>
        <v>265160.31122319936</v>
      </c>
      <c r="AW338" s="144">
        <f>SUM(AW332:AW337)+14742.65</f>
        <v>180627.35386162577</v>
      </c>
      <c r="AX338" s="144">
        <f>SUM(AX332:AX337)+8718.3</f>
        <v>106816.88300510099</v>
      </c>
      <c r="AY338" s="144">
        <f t="shared" si="457"/>
        <v>0</v>
      </c>
      <c r="AZ338" s="144">
        <f>SUM(AZ332:AZ337)+5071.5</f>
        <v>62136.172605672364</v>
      </c>
      <c r="BA338" s="94"/>
      <c r="BB338" s="92"/>
      <c r="BC338" s="95"/>
      <c r="BD338" s="95"/>
      <c r="BE338" s="95"/>
      <c r="BF338" s="50"/>
      <c r="BG338" s="50"/>
      <c r="BH338" s="50"/>
      <c r="BI338" s="50"/>
      <c r="BJ338" s="50"/>
      <c r="BK338" s="50"/>
      <c r="BL338" s="50"/>
      <c r="BM338" s="50"/>
      <c r="BN338" s="50"/>
      <c r="BO338" s="50"/>
      <c r="BP338" s="50"/>
      <c r="BQ338" s="50"/>
      <c r="BR338" s="50"/>
      <c r="BS338" s="50"/>
      <c r="BT338" s="50"/>
      <c r="BU338" s="50"/>
      <c r="BV338" s="50"/>
      <c r="BW338" s="50"/>
      <c r="BX338" s="50"/>
      <c r="BY338" s="50"/>
      <c r="BZ338" s="50"/>
      <c r="CA338" s="50"/>
      <c r="CB338" s="50"/>
      <c r="CC338" s="50"/>
      <c r="CD338" s="50"/>
      <c r="CE338" s="50"/>
      <c r="CF338" s="50"/>
      <c r="CG338" s="50"/>
      <c r="CH338" s="50"/>
      <c r="CI338" s="50"/>
      <c r="CJ338" s="50"/>
      <c r="CK338" s="50"/>
      <c r="CL338" s="50"/>
      <c r="CM338" s="50"/>
      <c r="CN338" s="50"/>
      <c r="CO338" s="50"/>
      <c r="CP338" s="50"/>
      <c r="CQ338" s="50"/>
      <c r="CR338" s="50"/>
      <c r="CS338" s="50"/>
      <c r="CT338" s="50"/>
      <c r="CU338" s="50"/>
      <c r="CV338" s="50"/>
      <c r="CW338" s="50"/>
      <c r="CX338" s="50"/>
      <c r="CY338" s="50"/>
      <c r="CZ338" s="50"/>
      <c r="DA338" s="50"/>
      <c r="DB338" s="50"/>
      <c r="DC338" s="50"/>
      <c r="DD338" s="50"/>
      <c r="DE338" s="50"/>
      <c r="DF338" s="50"/>
      <c r="DG338" s="50"/>
      <c r="DH338" s="50"/>
      <c r="DI338" s="50"/>
      <c r="DJ338" s="50"/>
      <c r="DK338" s="50"/>
      <c r="DL338" s="50"/>
      <c r="DM338" s="50"/>
      <c r="DN338" s="50"/>
      <c r="DO338" s="50"/>
      <c r="DP338" s="50"/>
      <c r="DQ338" s="50"/>
      <c r="DR338" s="50"/>
      <c r="DS338" s="50"/>
      <c r="DT338" s="50"/>
      <c r="DU338" s="50"/>
      <c r="DV338" s="50"/>
      <c r="DW338" s="50"/>
      <c r="DX338" s="50"/>
      <c r="DY338" s="50"/>
      <c r="DZ338" s="50"/>
      <c r="EA338" s="50"/>
      <c r="EB338" s="50"/>
      <c r="EC338" s="50"/>
      <c r="ED338" s="50"/>
      <c r="EE338" s="50"/>
      <c r="EF338" s="50"/>
      <c r="EG338" s="50"/>
      <c r="EH338" s="50"/>
      <c r="EI338" s="50"/>
      <c r="EJ338" s="50"/>
      <c r="EK338" s="50"/>
      <c r="EL338" s="50"/>
      <c r="EM338" s="50"/>
      <c r="EN338" s="50"/>
      <c r="EO338" s="50"/>
      <c r="EP338" s="50"/>
      <c r="EQ338" s="50"/>
      <c r="ER338" s="50"/>
      <c r="ES338" s="50"/>
      <c r="ET338" s="50"/>
      <c r="EU338" s="50"/>
      <c r="EV338" s="50"/>
      <c r="EW338" s="50"/>
      <c r="EX338" s="50"/>
      <c r="EY338" s="50"/>
      <c r="EZ338" s="50"/>
      <c r="FA338" s="50"/>
      <c r="FB338" s="50"/>
      <c r="FC338" s="50"/>
      <c r="FD338" s="50"/>
      <c r="FE338" s="50"/>
      <c r="FF338" s="50"/>
      <c r="FG338" s="50"/>
      <c r="FH338" s="50"/>
      <c r="FI338" s="50"/>
      <c r="FJ338" s="50"/>
      <c r="FK338" s="50"/>
      <c r="FL338" s="50"/>
      <c r="FM338" s="50"/>
      <c r="FN338" s="50"/>
      <c r="FO338" s="50"/>
      <c r="FP338" s="50"/>
      <c r="FQ338" s="50"/>
      <c r="FR338" s="50"/>
      <c r="FS338" s="50"/>
      <c r="FT338" s="50"/>
      <c r="FU338" s="50"/>
    </row>
    <row r="339" spans="1:177" ht="21" customHeight="1" x14ac:dyDescent="0.2">
      <c r="B339" s="67">
        <v>7</v>
      </c>
      <c r="C339" s="73" t="s">
        <v>66</v>
      </c>
      <c r="D339" s="67">
        <v>11116</v>
      </c>
      <c r="E339" s="192" t="s">
        <v>478</v>
      </c>
      <c r="F339" s="72" t="s">
        <v>479</v>
      </c>
      <c r="G339" s="55">
        <v>39098</v>
      </c>
      <c r="H339" s="56" t="str">
        <f t="shared" ref="H339:H356" si="458" xml:space="preserve"> CONCATENATE(DATEDIF(G339,H$5,"Y")," AÑOS")</f>
        <v>17 AÑOS</v>
      </c>
      <c r="I339" s="57">
        <v>4663.8913718766362</v>
      </c>
      <c r="J339" s="58">
        <v>5500</v>
      </c>
      <c r="K339" s="108">
        <f>J339-I339</f>
        <v>836.10862812336381</v>
      </c>
      <c r="L339" s="173">
        <f>K339*100/I339</f>
        <v>17.92727491821779</v>
      </c>
      <c r="M339" s="60">
        <v>1.7930000000000001E-3</v>
      </c>
      <c r="N339" s="61">
        <f>I339*0.1794</f>
        <v>836.70211211466858</v>
      </c>
      <c r="O339" s="58">
        <f t="shared" ref="O339:O356" si="459">I339+N339</f>
        <v>5500.5934839913043</v>
      </c>
      <c r="P339" s="61">
        <f t="shared" ref="P339:P356" si="460">O339*2</f>
        <v>11001.186967982609</v>
      </c>
      <c r="Q339" s="61">
        <f t="shared" ref="Q339:Q356" si="461">P339*0.75</f>
        <v>8250.8902259869574</v>
      </c>
      <c r="R339" s="61">
        <f t="shared" ref="R339:R356" si="462">P339*0.25</f>
        <v>2750.2967419956522</v>
      </c>
      <c r="S339" s="61">
        <f t="shared" ref="S339:S356" si="463">(P339/30)</f>
        <v>366.70623226608694</v>
      </c>
      <c r="T339" s="58">
        <f t="shared" si="429"/>
        <v>420.94208401824119</v>
      </c>
      <c r="U339" s="61">
        <f t="shared" ref="U339:U356" si="464">O339*0.75</f>
        <v>4125.4451129934787</v>
      </c>
      <c r="V339" s="58">
        <f t="shared" ref="V339:V356" si="465">O339*0.25</f>
        <v>1375.1483709978261</v>
      </c>
      <c r="W339" s="101">
        <v>7.4999999999999997E-2</v>
      </c>
      <c r="X339" s="63">
        <f t="shared" ref="X339:X356" si="466">P339*W339</f>
        <v>825.08902259869558</v>
      </c>
      <c r="Y339" s="61">
        <v>584.74</v>
      </c>
      <c r="Z339" s="61">
        <v>0</v>
      </c>
      <c r="AA339" s="61">
        <f t="shared" ref="AA339:AA356" si="467">(S339*45)/12</f>
        <v>1375.1483709978259</v>
      </c>
      <c r="AB339" s="61">
        <f t="shared" ref="AB339:AB356" si="468">(S339*10)*(0.45*2)/12</f>
        <v>275.02967419956525</v>
      </c>
      <c r="AC339" s="61">
        <v>1896.72</v>
      </c>
      <c r="AD339" s="61">
        <v>1103.3</v>
      </c>
      <c r="AE339" s="61">
        <v>652.46</v>
      </c>
      <c r="AF339" s="61">
        <v>0</v>
      </c>
      <c r="AG339" s="61">
        <f t="shared" ref="AG339:AG356" si="469">(P339+AA339+AB339)*0.03</f>
        <v>379.54095039539993</v>
      </c>
      <c r="AH339" s="64"/>
      <c r="AI339" s="64"/>
      <c r="AJ339" s="67">
        <v>7</v>
      </c>
      <c r="AK339" s="73" t="s">
        <v>66</v>
      </c>
      <c r="AL339" s="67">
        <v>11116</v>
      </c>
      <c r="AM339" s="192" t="s">
        <v>478</v>
      </c>
      <c r="AN339" s="72" t="s">
        <v>479</v>
      </c>
      <c r="AO339" s="138">
        <f>Q339*10</f>
        <v>82508.902259869574</v>
      </c>
      <c r="AP339" s="65">
        <f>R339*10</f>
        <v>27502.96741995652</v>
      </c>
      <c r="AQ339" s="65">
        <f t="shared" ref="AQ339:AZ339" si="470">X339*10</f>
        <v>8250.8902259869556</v>
      </c>
      <c r="AR339" s="65">
        <f t="shared" si="470"/>
        <v>5847.4</v>
      </c>
      <c r="AS339" s="65">
        <f t="shared" si="470"/>
        <v>0</v>
      </c>
      <c r="AT339" s="65">
        <f t="shared" si="470"/>
        <v>13751.483709978258</v>
      </c>
      <c r="AU339" s="65">
        <f t="shared" si="470"/>
        <v>2750.2967419956526</v>
      </c>
      <c r="AV339" s="65">
        <f t="shared" si="470"/>
        <v>18967.2</v>
      </c>
      <c r="AW339" s="65">
        <f t="shared" si="470"/>
        <v>11033</v>
      </c>
      <c r="AX339" s="65">
        <f t="shared" si="470"/>
        <v>6524.6</v>
      </c>
      <c r="AY339" s="65">
        <f t="shared" si="470"/>
        <v>0</v>
      </c>
      <c r="AZ339" s="65">
        <f t="shared" si="470"/>
        <v>3795.4095039539993</v>
      </c>
      <c r="BB339" s="64"/>
      <c r="BC339" s="66"/>
      <c r="BD339" s="66"/>
      <c r="BE339" s="66"/>
    </row>
    <row r="340" spans="1:177" ht="21" customHeight="1" x14ac:dyDescent="0.2">
      <c r="B340" s="67">
        <v>9</v>
      </c>
      <c r="C340" s="73" t="s">
        <v>66</v>
      </c>
      <c r="D340" s="67">
        <v>11187</v>
      </c>
      <c r="E340" s="72" t="s">
        <v>480</v>
      </c>
      <c r="F340" s="72" t="s">
        <v>479</v>
      </c>
      <c r="G340" s="55">
        <v>44621</v>
      </c>
      <c r="H340" s="56" t="str">
        <f t="shared" si="458"/>
        <v>2 AÑOS</v>
      </c>
      <c r="I340" s="57">
        <v>4663.8913718766362</v>
      </c>
      <c r="J340" s="58"/>
      <c r="K340" s="58"/>
      <c r="L340" s="59"/>
      <c r="M340" s="60">
        <v>4.0000000000000002E-4</v>
      </c>
      <c r="N340" s="61">
        <f t="shared" ref="N340:N356" si="471">I340*0.04</f>
        <v>186.55565487506544</v>
      </c>
      <c r="O340" s="58">
        <f t="shared" si="459"/>
        <v>4850.4470267517017</v>
      </c>
      <c r="P340" s="61">
        <f t="shared" si="460"/>
        <v>9700.8940535034035</v>
      </c>
      <c r="Q340" s="61">
        <f t="shared" si="461"/>
        <v>7275.6705401275522</v>
      </c>
      <c r="R340" s="61">
        <f t="shared" si="462"/>
        <v>2425.2235133758509</v>
      </c>
      <c r="S340" s="61">
        <f t="shared" si="463"/>
        <v>323.36313511678014</v>
      </c>
      <c r="T340" s="58">
        <f t="shared" si="429"/>
        <v>371.18854280055189</v>
      </c>
      <c r="U340" s="61">
        <f t="shared" si="464"/>
        <v>3637.8352700637761</v>
      </c>
      <c r="V340" s="58">
        <f t="shared" si="465"/>
        <v>1212.6117566879254</v>
      </c>
      <c r="W340" s="62">
        <v>0</v>
      </c>
      <c r="X340" s="63">
        <f t="shared" si="466"/>
        <v>0</v>
      </c>
      <c r="Y340" s="61">
        <v>263.8322187658776</v>
      </c>
      <c r="Z340" s="61">
        <v>0</v>
      </c>
      <c r="AA340" s="61">
        <f t="shared" si="467"/>
        <v>1212.6117566879254</v>
      </c>
      <c r="AB340" s="61">
        <f t="shared" si="468"/>
        <v>242.52235133758509</v>
      </c>
      <c r="AC340" s="61">
        <v>1737.3602406291525</v>
      </c>
      <c r="AD340" s="61">
        <v>921.12292838670953</v>
      </c>
      <c r="AE340" s="61">
        <v>575.34224134085548</v>
      </c>
      <c r="AF340" s="61">
        <v>0</v>
      </c>
      <c r="AG340" s="61">
        <f t="shared" si="469"/>
        <v>334.68084484586745</v>
      </c>
      <c r="AH340" s="64"/>
      <c r="AI340" s="64"/>
      <c r="AJ340" s="67">
        <v>9</v>
      </c>
      <c r="AK340" s="73" t="s">
        <v>66</v>
      </c>
      <c r="AL340" s="67">
        <v>11187</v>
      </c>
      <c r="AM340" s="72" t="s">
        <v>480</v>
      </c>
      <c r="AN340" s="72" t="s">
        <v>479</v>
      </c>
      <c r="AO340" s="138">
        <f t="shared" ref="AO340:AO356" si="472">Q340*12</f>
        <v>87308.046481530619</v>
      </c>
      <c r="AP340" s="65">
        <f t="shared" ref="AP340:AP356" si="473">R340*12</f>
        <v>29102.682160510209</v>
      </c>
      <c r="AQ340" s="65">
        <f t="shared" ref="AQ340:AQ356" si="474">X340*12</f>
        <v>0</v>
      </c>
      <c r="AR340" s="65">
        <f t="shared" ref="AR340:AR356" si="475">Y340*12</f>
        <v>3165.9866251905314</v>
      </c>
      <c r="AS340" s="65">
        <f t="shared" ref="AS340:AS356" si="476">Z340*12</f>
        <v>0</v>
      </c>
      <c r="AT340" s="65">
        <f t="shared" ref="AT340:AT356" si="477">AA340*12</f>
        <v>14551.341080255104</v>
      </c>
      <c r="AU340" s="65">
        <f t="shared" ref="AU340:AU356" si="478">AB340*12</f>
        <v>2910.2682160510212</v>
      </c>
      <c r="AV340" s="65">
        <f t="shared" ref="AV340:AV356" si="479">AC340*12</f>
        <v>20848.322887549832</v>
      </c>
      <c r="AW340" s="65">
        <f t="shared" ref="AW340:AW356" si="480">AD340*12</f>
        <v>11053.475140640514</v>
      </c>
      <c r="AX340" s="65">
        <f t="shared" ref="AX340:AX356" si="481">AE340*12</f>
        <v>6904.1068960902658</v>
      </c>
      <c r="AY340" s="65">
        <f t="shared" ref="AY340:AY356" si="482">AF340*12</f>
        <v>0</v>
      </c>
      <c r="AZ340" s="65">
        <f t="shared" ref="AZ340:AZ356" si="483">AG340*12</f>
        <v>4016.1701381504095</v>
      </c>
      <c r="BB340" s="64"/>
      <c r="BC340" s="66"/>
      <c r="BD340" s="66"/>
      <c r="BE340" s="66"/>
    </row>
    <row r="341" spans="1:177" ht="21" customHeight="1" x14ac:dyDescent="0.2">
      <c r="B341" s="67">
        <v>10</v>
      </c>
      <c r="C341" s="73" t="s">
        <v>66</v>
      </c>
      <c r="D341" s="67">
        <v>11186</v>
      </c>
      <c r="E341" s="72" t="s">
        <v>481</v>
      </c>
      <c r="F341" s="72" t="s">
        <v>482</v>
      </c>
      <c r="G341" s="55">
        <v>44593</v>
      </c>
      <c r="H341" s="56" t="str">
        <f t="shared" si="458"/>
        <v>2 AÑOS</v>
      </c>
      <c r="I341" s="57">
        <v>5744.5518493346244</v>
      </c>
      <c r="J341" s="58"/>
      <c r="K341" s="58"/>
      <c r="L341" s="59"/>
      <c r="M341" s="60">
        <v>4.0000000000000002E-4</v>
      </c>
      <c r="N341" s="61">
        <f t="shared" si="471"/>
        <v>229.78207397338497</v>
      </c>
      <c r="O341" s="58">
        <f t="shared" si="459"/>
        <v>5974.3339233080096</v>
      </c>
      <c r="P341" s="61">
        <f t="shared" si="460"/>
        <v>11948.667846616019</v>
      </c>
      <c r="Q341" s="61">
        <f t="shared" si="461"/>
        <v>8961.5008849620135</v>
      </c>
      <c r="R341" s="61">
        <f t="shared" si="462"/>
        <v>2987.1669616540048</v>
      </c>
      <c r="S341" s="61">
        <f t="shared" si="463"/>
        <v>398.28892822053399</v>
      </c>
      <c r="T341" s="58">
        <f t="shared" si="429"/>
        <v>457.19586070435093</v>
      </c>
      <c r="U341" s="61">
        <f t="shared" si="464"/>
        <v>4480.7504424810068</v>
      </c>
      <c r="V341" s="58">
        <f t="shared" si="465"/>
        <v>1493.5834808270024</v>
      </c>
      <c r="W341" s="62">
        <v>0</v>
      </c>
      <c r="X341" s="63">
        <f t="shared" si="466"/>
        <v>0</v>
      </c>
      <c r="Y341" s="61">
        <v>662.05056028386707</v>
      </c>
      <c r="Z341" s="61">
        <v>0</v>
      </c>
      <c r="AA341" s="61">
        <f t="shared" si="467"/>
        <v>1493.5834808270026</v>
      </c>
      <c r="AB341" s="61">
        <f t="shared" si="468"/>
        <v>298.71669616540049</v>
      </c>
      <c r="AC341" s="61">
        <v>2012.8515965187753</v>
      </c>
      <c r="AD341" s="61">
        <v>1198.333210699139</v>
      </c>
      <c r="AE341" s="61">
        <v>708.65358409174405</v>
      </c>
      <c r="AF341" s="61">
        <v>0</v>
      </c>
      <c r="AG341" s="61">
        <f t="shared" si="469"/>
        <v>412.22904070825263</v>
      </c>
      <c r="AH341" s="64"/>
      <c r="AI341" s="64"/>
      <c r="AJ341" s="67">
        <v>10</v>
      </c>
      <c r="AK341" s="73" t="s">
        <v>66</v>
      </c>
      <c r="AL341" s="67">
        <v>11186</v>
      </c>
      <c r="AM341" s="72" t="s">
        <v>481</v>
      </c>
      <c r="AN341" s="72" t="s">
        <v>482</v>
      </c>
      <c r="AO341" s="138">
        <f t="shared" si="472"/>
        <v>107538.01061954416</v>
      </c>
      <c r="AP341" s="65">
        <f t="shared" si="473"/>
        <v>35846.003539848054</v>
      </c>
      <c r="AQ341" s="65">
        <f t="shared" si="474"/>
        <v>0</v>
      </c>
      <c r="AR341" s="65">
        <f t="shared" si="475"/>
        <v>7944.6067234064049</v>
      </c>
      <c r="AS341" s="65">
        <f t="shared" si="476"/>
        <v>0</v>
      </c>
      <c r="AT341" s="65">
        <f t="shared" si="477"/>
        <v>17923.001769924031</v>
      </c>
      <c r="AU341" s="65">
        <f t="shared" si="478"/>
        <v>3584.6003539848061</v>
      </c>
      <c r="AV341" s="65">
        <f t="shared" si="479"/>
        <v>24154.219158225304</v>
      </c>
      <c r="AW341" s="65">
        <f t="shared" si="480"/>
        <v>14379.998528389668</v>
      </c>
      <c r="AX341" s="65">
        <f t="shared" si="481"/>
        <v>8503.8430091009286</v>
      </c>
      <c r="AY341" s="65">
        <f t="shared" si="482"/>
        <v>0</v>
      </c>
      <c r="AZ341" s="65">
        <f t="shared" si="483"/>
        <v>4946.7484884990317</v>
      </c>
      <c r="BB341" s="64"/>
      <c r="BC341" s="66"/>
      <c r="BD341" s="66"/>
      <c r="BE341" s="66"/>
    </row>
    <row r="342" spans="1:177" ht="21" customHeight="1" x14ac:dyDescent="0.2">
      <c r="B342" s="67">
        <v>11</v>
      </c>
      <c r="C342" s="73" t="s">
        <v>66</v>
      </c>
      <c r="D342" s="67">
        <v>11111</v>
      </c>
      <c r="E342" s="72" t="s">
        <v>483</v>
      </c>
      <c r="F342" s="72" t="s">
        <v>484</v>
      </c>
      <c r="G342" s="55">
        <v>38384</v>
      </c>
      <c r="H342" s="56" t="str">
        <f t="shared" si="458"/>
        <v>19 AÑOS</v>
      </c>
      <c r="I342" s="57">
        <v>4786.8117021420376</v>
      </c>
      <c r="J342" s="58"/>
      <c r="K342" s="58"/>
      <c r="L342" s="59"/>
      <c r="M342" s="60">
        <v>4.0000000000000002E-4</v>
      </c>
      <c r="N342" s="61">
        <f t="shared" si="471"/>
        <v>191.4724680856815</v>
      </c>
      <c r="O342" s="58">
        <f t="shared" si="459"/>
        <v>4978.2841702277192</v>
      </c>
      <c r="P342" s="61">
        <f t="shared" si="460"/>
        <v>9956.5683404554384</v>
      </c>
      <c r="Q342" s="61">
        <f t="shared" si="461"/>
        <v>7467.4262553415792</v>
      </c>
      <c r="R342" s="61">
        <f t="shared" si="462"/>
        <v>2489.1420851138596</v>
      </c>
      <c r="S342" s="61">
        <f t="shared" si="463"/>
        <v>331.8856113485146</v>
      </c>
      <c r="T342" s="58">
        <f t="shared" si="429"/>
        <v>380.9714932669599</v>
      </c>
      <c r="U342" s="61">
        <f t="shared" si="464"/>
        <v>3733.7131276707896</v>
      </c>
      <c r="V342" s="58">
        <f t="shared" si="465"/>
        <v>1244.5710425569298</v>
      </c>
      <c r="W342" s="101">
        <v>7.4999999999999997E-2</v>
      </c>
      <c r="X342" s="63">
        <f t="shared" si="466"/>
        <v>746.74262553415781</v>
      </c>
      <c r="Y342" s="61">
        <v>499.49524058116378</v>
      </c>
      <c r="Z342" s="61">
        <v>0</v>
      </c>
      <c r="AA342" s="61">
        <f t="shared" si="467"/>
        <v>1244.5710425569298</v>
      </c>
      <c r="AB342" s="61">
        <f t="shared" si="468"/>
        <v>248.91420851138597</v>
      </c>
      <c r="AC342" s="61">
        <v>1768.6961589472464</v>
      </c>
      <c r="AD342" s="61">
        <v>945.3998091166244</v>
      </c>
      <c r="AE342" s="61">
        <v>590.50581456378791</v>
      </c>
      <c r="AF342" s="61">
        <v>0</v>
      </c>
      <c r="AG342" s="61">
        <f t="shared" si="469"/>
        <v>343.50160774571259</v>
      </c>
      <c r="AH342" s="64"/>
      <c r="AI342" s="64"/>
      <c r="AJ342" s="67">
        <v>11</v>
      </c>
      <c r="AK342" s="73" t="s">
        <v>66</v>
      </c>
      <c r="AL342" s="67">
        <v>11111</v>
      </c>
      <c r="AM342" s="72" t="s">
        <v>483</v>
      </c>
      <c r="AN342" s="72" t="s">
        <v>484</v>
      </c>
      <c r="AO342" s="138">
        <f t="shared" si="472"/>
        <v>89609.115064098951</v>
      </c>
      <c r="AP342" s="65">
        <f t="shared" si="473"/>
        <v>29869.705021366317</v>
      </c>
      <c r="AQ342" s="65">
        <f t="shared" si="474"/>
        <v>8960.9115064098933</v>
      </c>
      <c r="AR342" s="65">
        <f t="shared" si="475"/>
        <v>5993.9428869739659</v>
      </c>
      <c r="AS342" s="65">
        <f t="shared" si="476"/>
        <v>0</v>
      </c>
      <c r="AT342" s="65">
        <f t="shared" si="477"/>
        <v>14934.852510683158</v>
      </c>
      <c r="AU342" s="65">
        <f t="shared" si="478"/>
        <v>2986.9705021366317</v>
      </c>
      <c r="AV342" s="65">
        <f t="shared" si="479"/>
        <v>21224.353907366956</v>
      </c>
      <c r="AW342" s="65">
        <f t="shared" si="480"/>
        <v>11344.797709399492</v>
      </c>
      <c r="AX342" s="65">
        <f t="shared" si="481"/>
        <v>7086.0697747654549</v>
      </c>
      <c r="AY342" s="65">
        <f t="shared" si="482"/>
        <v>0</v>
      </c>
      <c r="AZ342" s="65">
        <f t="shared" si="483"/>
        <v>4122.0192929485511</v>
      </c>
      <c r="BB342" s="64"/>
      <c r="BC342" s="66"/>
      <c r="BD342" s="66"/>
      <c r="BE342" s="66"/>
    </row>
    <row r="343" spans="1:177" ht="21" customHeight="1" x14ac:dyDescent="0.2">
      <c r="B343" s="67">
        <v>12</v>
      </c>
      <c r="C343" s="73" t="s">
        <v>66</v>
      </c>
      <c r="D343" s="67">
        <v>11112</v>
      </c>
      <c r="E343" s="72" t="s">
        <v>485</v>
      </c>
      <c r="F343" s="72" t="s">
        <v>484</v>
      </c>
      <c r="G343" s="55">
        <v>38384</v>
      </c>
      <c r="H343" s="56" t="str">
        <f t="shared" si="458"/>
        <v>19 AÑOS</v>
      </c>
      <c r="I343" s="57">
        <v>4786.8117021420376</v>
      </c>
      <c r="J343" s="58"/>
      <c r="K343" s="58"/>
      <c r="L343" s="59"/>
      <c r="M343" s="60">
        <v>4.0000000000000002E-4</v>
      </c>
      <c r="N343" s="61">
        <f t="shared" si="471"/>
        <v>191.4724680856815</v>
      </c>
      <c r="O343" s="58">
        <f t="shared" si="459"/>
        <v>4978.2841702277192</v>
      </c>
      <c r="P343" s="61">
        <f t="shared" si="460"/>
        <v>9956.5683404554384</v>
      </c>
      <c r="Q343" s="61">
        <f t="shared" si="461"/>
        <v>7467.4262553415792</v>
      </c>
      <c r="R343" s="61">
        <f t="shared" si="462"/>
        <v>2489.1420851138596</v>
      </c>
      <c r="S343" s="61">
        <f t="shared" si="463"/>
        <v>331.8856113485146</v>
      </c>
      <c r="T343" s="58">
        <f t="shared" si="429"/>
        <v>380.9714932669599</v>
      </c>
      <c r="U343" s="61">
        <f t="shared" si="464"/>
        <v>3733.7131276707896</v>
      </c>
      <c r="V343" s="58">
        <f t="shared" si="465"/>
        <v>1244.5710425569298</v>
      </c>
      <c r="W343" s="101">
        <v>7.4999999999999997E-2</v>
      </c>
      <c r="X343" s="63">
        <f t="shared" si="466"/>
        <v>746.74262553415781</v>
      </c>
      <c r="Y343" s="61">
        <v>499.49524058116378</v>
      </c>
      <c r="Z343" s="61">
        <v>0</v>
      </c>
      <c r="AA343" s="61">
        <f t="shared" si="467"/>
        <v>1244.5710425569298</v>
      </c>
      <c r="AB343" s="61">
        <f t="shared" si="468"/>
        <v>248.91420851138597</v>
      </c>
      <c r="AC343" s="61">
        <v>1768.6961589472464</v>
      </c>
      <c r="AD343" s="61">
        <v>945.3998091166244</v>
      </c>
      <c r="AE343" s="61">
        <v>590.50581456378791</v>
      </c>
      <c r="AF343" s="61">
        <v>0</v>
      </c>
      <c r="AG343" s="61">
        <f t="shared" si="469"/>
        <v>343.50160774571259</v>
      </c>
      <c r="AH343" s="64"/>
      <c r="AI343" s="64"/>
      <c r="AJ343" s="67">
        <v>12</v>
      </c>
      <c r="AK343" s="73" t="s">
        <v>66</v>
      </c>
      <c r="AL343" s="67">
        <v>11112</v>
      </c>
      <c r="AM343" s="72" t="s">
        <v>485</v>
      </c>
      <c r="AN343" s="72" t="s">
        <v>484</v>
      </c>
      <c r="AO343" s="138">
        <f t="shared" si="472"/>
        <v>89609.115064098951</v>
      </c>
      <c r="AP343" s="65">
        <f t="shared" si="473"/>
        <v>29869.705021366317</v>
      </c>
      <c r="AQ343" s="65">
        <f t="shared" si="474"/>
        <v>8960.9115064098933</v>
      </c>
      <c r="AR343" s="65">
        <f t="shared" si="475"/>
        <v>5993.9428869739659</v>
      </c>
      <c r="AS343" s="65">
        <f t="shared" si="476"/>
        <v>0</v>
      </c>
      <c r="AT343" s="65">
        <f t="shared" si="477"/>
        <v>14934.852510683158</v>
      </c>
      <c r="AU343" s="65">
        <f t="shared" si="478"/>
        <v>2986.9705021366317</v>
      </c>
      <c r="AV343" s="65">
        <f t="shared" si="479"/>
        <v>21224.353907366956</v>
      </c>
      <c r="AW343" s="65">
        <f t="shared" si="480"/>
        <v>11344.797709399492</v>
      </c>
      <c r="AX343" s="65">
        <f t="shared" si="481"/>
        <v>7086.0697747654549</v>
      </c>
      <c r="AY343" s="65">
        <f t="shared" si="482"/>
        <v>0</v>
      </c>
      <c r="AZ343" s="65">
        <f t="shared" si="483"/>
        <v>4122.0192929485511</v>
      </c>
      <c r="BB343" s="64"/>
      <c r="BC343" s="66"/>
      <c r="BD343" s="66"/>
      <c r="BE343" s="66"/>
    </row>
    <row r="344" spans="1:177" ht="21" customHeight="1" x14ac:dyDescent="0.2">
      <c r="B344" s="67">
        <v>13</v>
      </c>
      <c r="C344" s="73" t="s">
        <v>66</v>
      </c>
      <c r="D344" s="67">
        <v>11130</v>
      </c>
      <c r="E344" s="72" t="s">
        <v>486</v>
      </c>
      <c r="F344" s="72" t="s">
        <v>487</v>
      </c>
      <c r="G344" s="55">
        <v>39052</v>
      </c>
      <c r="H344" s="56" t="str">
        <f t="shared" si="458"/>
        <v>18 AÑOS</v>
      </c>
      <c r="I344" s="57">
        <v>4894.4866299329215</v>
      </c>
      <c r="J344" s="58"/>
      <c r="K344" s="58"/>
      <c r="L344" s="59"/>
      <c r="M344" s="60">
        <v>4.0000000000000002E-4</v>
      </c>
      <c r="N344" s="61">
        <f t="shared" si="471"/>
        <v>195.77946519731685</v>
      </c>
      <c r="O344" s="58">
        <f t="shared" si="459"/>
        <v>5090.2660951302387</v>
      </c>
      <c r="P344" s="61">
        <f t="shared" si="460"/>
        <v>10180.532190260477</v>
      </c>
      <c r="Q344" s="61">
        <f t="shared" si="461"/>
        <v>7635.399142695358</v>
      </c>
      <c r="R344" s="61">
        <f t="shared" si="462"/>
        <v>2545.1330475651193</v>
      </c>
      <c r="S344" s="61">
        <f t="shared" si="463"/>
        <v>339.35107300868259</v>
      </c>
      <c r="T344" s="58">
        <f t="shared" si="429"/>
        <v>389.54109670666674</v>
      </c>
      <c r="U344" s="61">
        <f t="shared" si="464"/>
        <v>3817.699571347679</v>
      </c>
      <c r="V344" s="58">
        <f t="shared" si="465"/>
        <v>1272.5665237825597</v>
      </c>
      <c r="W344" s="101">
        <v>7.4999999999999997E-2</v>
      </c>
      <c r="X344" s="63">
        <f t="shared" si="466"/>
        <v>763.53991426953576</v>
      </c>
      <c r="Y344" s="61">
        <v>517.77069072525489</v>
      </c>
      <c r="Z344" s="61">
        <v>0</v>
      </c>
      <c r="AA344" s="61">
        <f t="shared" si="467"/>
        <v>1272.5665237825597</v>
      </c>
      <c r="AB344" s="61">
        <f t="shared" si="468"/>
        <v>254.51330475651196</v>
      </c>
      <c r="AC344" s="61">
        <v>1796.1455868399037</v>
      </c>
      <c r="AD344" s="61">
        <v>966.66570853242888</v>
      </c>
      <c r="AE344" s="61">
        <v>603.78869989533348</v>
      </c>
      <c r="AF344" s="61">
        <v>0</v>
      </c>
      <c r="AG344" s="61">
        <f t="shared" si="469"/>
        <v>351.22836056398648</v>
      </c>
      <c r="AH344" s="64"/>
      <c r="AI344" s="64"/>
      <c r="AJ344" s="67">
        <v>13</v>
      </c>
      <c r="AK344" s="73" t="s">
        <v>66</v>
      </c>
      <c r="AL344" s="67">
        <v>11130</v>
      </c>
      <c r="AM344" s="72" t="s">
        <v>486</v>
      </c>
      <c r="AN344" s="72" t="s">
        <v>487</v>
      </c>
      <c r="AO344" s="138">
        <f t="shared" si="472"/>
        <v>91624.789712344296</v>
      </c>
      <c r="AP344" s="65">
        <f t="shared" si="473"/>
        <v>30541.596570781432</v>
      </c>
      <c r="AQ344" s="65">
        <f t="shared" si="474"/>
        <v>9162.4789712344282</v>
      </c>
      <c r="AR344" s="65">
        <f t="shared" si="475"/>
        <v>6213.2482887030583</v>
      </c>
      <c r="AS344" s="65">
        <f t="shared" si="476"/>
        <v>0</v>
      </c>
      <c r="AT344" s="65">
        <f t="shared" si="477"/>
        <v>15270.798285390716</v>
      </c>
      <c r="AU344" s="65">
        <f t="shared" si="478"/>
        <v>3054.1596570781435</v>
      </c>
      <c r="AV344" s="65">
        <f t="shared" si="479"/>
        <v>21553.747042078845</v>
      </c>
      <c r="AW344" s="65">
        <f t="shared" si="480"/>
        <v>11599.988502389147</v>
      </c>
      <c r="AX344" s="65">
        <f t="shared" si="481"/>
        <v>7245.4643987440013</v>
      </c>
      <c r="AY344" s="65">
        <f t="shared" si="482"/>
        <v>0</v>
      </c>
      <c r="AZ344" s="65">
        <f t="shared" si="483"/>
        <v>4214.7403267678383</v>
      </c>
      <c r="BB344" s="64"/>
      <c r="BC344" s="66"/>
      <c r="BD344" s="66"/>
      <c r="BE344" s="66"/>
    </row>
    <row r="345" spans="1:177" ht="21" customHeight="1" x14ac:dyDescent="0.2">
      <c r="B345" s="67">
        <v>14</v>
      </c>
      <c r="C345" s="73" t="s">
        <v>66</v>
      </c>
      <c r="D345" s="67">
        <v>11131</v>
      </c>
      <c r="E345" s="72" t="s">
        <v>488</v>
      </c>
      <c r="F345" s="72" t="s">
        <v>487</v>
      </c>
      <c r="G345" s="55">
        <v>38808</v>
      </c>
      <c r="H345" s="56" t="str">
        <f t="shared" si="458"/>
        <v>18 AÑOS</v>
      </c>
      <c r="I345" s="57">
        <v>4894.4849425171324</v>
      </c>
      <c r="J345" s="58"/>
      <c r="K345" s="58"/>
      <c r="L345" s="59"/>
      <c r="M345" s="60">
        <v>4.0000000000000002E-4</v>
      </c>
      <c r="N345" s="61">
        <f t="shared" si="471"/>
        <v>195.77939770068531</v>
      </c>
      <c r="O345" s="58">
        <f t="shared" si="459"/>
        <v>5090.2643402178173</v>
      </c>
      <c r="P345" s="61">
        <f t="shared" si="460"/>
        <v>10180.528680435635</v>
      </c>
      <c r="Q345" s="61">
        <f t="shared" si="461"/>
        <v>7635.3965103267255</v>
      </c>
      <c r="R345" s="61">
        <f t="shared" si="462"/>
        <v>2545.1321701089087</v>
      </c>
      <c r="S345" s="61">
        <f t="shared" si="463"/>
        <v>339.35095601452116</v>
      </c>
      <c r="T345" s="58">
        <f t="shared" si="429"/>
        <v>389.54096240906881</v>
      </c>
      <c r="U345" s="61">
        <f t="shared" si="464"/>
        <v>3817.6982551633628</v>
      </c>
      <c r="V345" s="58">
        <f t="shared" si="465"/>
        <v>1272.5660850544543</v>
      </c>
      <c r="W345" s="101">
        <v>7.4999999999999997E-2</v>
      </c>
      <c r="X345" s="63">
        <f t="shared" si="466"/>
        <v>763.53965103267262</v>
      </c>
      <c r="Y345" s="61">
        <v>517.77040432354772</v>
      </c>
      <c r="Z345" s="61">
        <v>0</v>
      </c>
      <c r="AA345" s="61">
        <f t="shared" si="467"/>
        <v>1272.5660850544543</v>
      </c>
      <c r="AB345" s="61">
        <f t="shared" si="468"/>
        <v>254.51321701089088</v>
      </c>
      <c r="AC345" s="61">
        <v>1796.1451566692131</v>
      </c>
      <c r="AD345" s="61">
        <v>966.66537526622483</v>
      </c>
      <c r="AE345" s="61">
        <v>603.78849173405672</v>
      </c>
      <c r="AF345" s="61">
        <v>0</v>
      </c>
      <c r="AG345" s="61">
        <f t="shared" si="469"/>
        <v>351.22823947502934</v>
      </c>
      <c r="AH345" s="64"/>
      <c r="AI345" s="64"/>
      <c r="AJ345" s="67">
        <v>14</v>
      </c>
      <c r="AK345" s="73" t="s">
        <v>66</v>
      </c>
      <c r="AL345" s="67">
        <v>11131</v>
      </c>
      <c r="AM345" s="72" t="s">
        <v>488</v>
      </c>
      <c r="AN345" s="72" t="s">
        <v>487</v>
      </c>
      <c r="AO345" s="138">
        <f t="shared" si="472"/>
        <v>91624.758123920707</v>
      </c>
      <c r="AP345" s="65">
        <f t="shared" si="473"/>
        <v>30541.586041306902</v>
      </c>
      <c r="AQ345" s="65">
        <f t="shared" si="474"/>
        <v>9162.475812392071</v>
      </c>
      <c r="AR345" s="65">
        <f t="shared" si="475"/>
        <v>6213.2448518825731</v>
      </c>
      <c r="AS345" s="65">
        <f t="shared" si="476"/>
        <v>0</v>
      </c>
      <c r="AT345" s="65">
        <f t="shared" si="477"/>
        <v>15270.793020653451</v>
      </c>
      <c r="AU345" s="65">
        <f t="shared" si="478"/>
        <v>3054.1586041306905</v>
      </c>
      <c r="AV345" s="65">
        <f t="shared" si="479"/>
        <v>21553.741880030557</v>
      </c>
      <c r="AW345" s="65">
        <f t="shared" si="480"/>
        <v>11599.984503194697</v>
      </c>
      <c r="AX345" s="65">
        <f t="shared" si="481"/>
        <v>7245.4619008086811</v>
      </c>
      <c r="AY345" s="65">
        <f t="shared" si="482"/>
        <v>0</v>
      </c>
      <c r="AZ345" s="65">
        <f t="shared" si="483"/>
        <v>4214.7388737003521</v>
      </c>
      <c r="BB345" s="64"/>
      <c r="BC345" s="66"/>
      <c r="BD345" s="66"/>
      <c r="BE345" s="66"/>
    </row>
    <row r="346" spans="1:177" ht="21" customHeight="1" x14ac:dyDescent="0.2">
      <c r="B346" s="67">
        <v>15</v>
      </c>
      <c r="C346" s="73" t="s">
        <v>66</v>
      </c>
      <c r="D346" s="78">
        <v>11106</v>
      </c>
      <c r="E346" s="72" t="s">
        <v>489</v>
      </c>
      <c r="F346" s="72" t="s">
        <v>487</v>
      </c>
      <c r="G346" s="55">
        <v>38384</v>
      </c>
      <c r="H346" s="56" t="str">
        <f t="shared" si="458"/>
        <v>19 AÑOS</v>
      </c>
      <c r="I346" s="57">
        <v>4894.4866299329215</v>
      </c>
      <c r="J346" s="58"/>
      <c r="K346" s="58"/>
      <c r="L346" s="59"/>
      <c r="M346" s="60">
        <v>4.0000000000000002E-4</v>
      </c>
      <c r="N346" s="61">
        <f t="shared" si="471"/>
        <v>195.77946519731685</v>
      </c>
      <c r="O346" s="58">
        <f t="shared" si="459"/>
        <v>5090.2660951302387</v>
      </c>
      <c r="P346" s="61">
        <f t="shared" si="460"/>
        <v>10180.532190260477</v>
      </c>
      <c r="Q346" s="61">
        <f t="shared" si="461"/>
        <v>7635.399142695358</v>
      </c>
      <c r="R346" s="61">
        <f t="shared" si="462"/>
        <v>2545.1330475651193</v>
      </c>
      <c r="S346" s="61">
        <f t="shared" si="463"/>
        <v>339.35107300868259</v>
      </c>
      <c r="T346" s="58">
        <f t="shared" si="429"/>
        <v>389.54109670666674</v>
      </c>
      <c r="U346" s="61">
        <f t="shared" si="464"/>
        <v>3817.699571347679</v>
      </c>
      <c r="V346" s="58">
        <f t="shared" si="465"/>
        <v>1272.5665237825597</v>
      </c>
      <c r="W346" s="101">
        <v>7.4999999999999997E-2</v>
      </c>
      <c r="X346" s="63">
        <f t="shared" si="466"/>
        <v>763.53991426953576</v>
      </c>
      <c r="Y346" s="61">
        <v>517.77069072525489</v>
      </c>
      <c r="Z346" s="61">
        <v>0</v>
      </c>
      <c r="AA346" s="61">
        <f t="shared" si="467"/>
        <v>1272.5665237825597</v>
      </c>
      <c r="AB346" s="61">
        <f t="shared" si="468"/>
        <v>254.51330475651196</v>
      </c>
      <c r="AC346" s="61">
        <v>1796.1455868399037</v>
      </c>
      <c r="AD346" s="61">
        <v>966.66570853242888</v>
      </c>
      <c r="AE346" s="61">
        <v>603.78869989533348</v>
      </c>
      <c r="AF346" s="61">
        <v>0</v>
      </c>
      <c r="AG346" s="61">
        <f t="shared" si="469"/>
        <v>351.22836056398648</v>
      </c>
      <c r="AH346" s="64"/>
      <c r="AI346" s="64"/>
      <c r="AJ346" s="67">
        <v>15</v>
      </c>
      <c r="AK346" s="73" t="s">
        <v>66</v>
      </c>
      <c r="AL346" s="78">
        <v>11106</v>
      </c>
      <c r="AM346" s="72" t="s">
        <v>489</v>
      </c>
      <c r="AN346" s="72" t="s">
        <v>487</v>
      </c>
      <c r="AO346" s="138">
        <f t="shared" si="472"/>
        <v>91624.789712344296</v>
      </c>
      <c r="AP346" s="65">
        <f t="shared" si="473"/>
        <v>30541.596570781432</v>
      </c>
      <c r="AQ346" s="65">
        <f t="shared" si="474"/>
        <v>9162.4789712344282</v>
      </c>
      <c r="AR346" s="65">
        <f t="shared" si="475"/>
        <v>6213.2482887030583</v>
      </c>
      <c r="AS346" s="65">
        <f t="shared" si="476"/>
        <v>0</v>
      </c>
      <c r="AT346" s="65">
        <f t="shared" si="477"/>
        <v>15270.798285390716</v>
      </c>
      <c r="AU346" s="65">
        <f t="shared" si="478"/>
        <v>3054.1596570781435</v>
      </c>
      <c r="AV346" s="65">
        <f t="shared" si="479"/>
        <v>21553.747042078845</v>
      </c>
      <c r="AW346" s="65">
        <f t="shared" si="480"/>
        <v>11599.988502389147</v>
      </c>
      <c r="AX346" s="65">
        <f t="shared" si="481"/>
        <v>7245.4643987440013</v>
      </c>
      <c r="AY346" s="65">
        <f t="shared" si="482"/>
        <v>0</v>
      </c>
      <c r="AZ346" s="65">
        <f t="shared" si="483"/>
        <v>4214.7403267678383</v>
      </c>
      <c r="BB346" s="64"/>
      <c r="BC346" s="66"/>
      <c r="BD346" s="66"/>
      <c r="BE346" s="66"/>
    </row>
    <row r="347" spans="1:177" ht="21" customHeight="1" x14ac:dyDescent="0.2">
      <c r="B347" s="67">
        <v>16</v>
      </c>
      <c r="C347" s="73" t="s">
        <v>66</v>
      </c>
      <c r="D347" s="78">
        <v>11034</v>
      </c>
      <c r="E347" s="72" t="s">
        <v>490</v>
      </c>
      <c r="F347" s="72" t="s">
        <v>487</v>
      </c>
      <c r="G347" s="55">
        <v>35954</v>
      </c>
      <c r="H347" s="56" t="str">
        <f t="shared" si="458"/>
        <v>26 AÑOS</v>
      </c>
      <c r="I347" s="57">
        <v>4894.4866299329215</v>
      </c>
      <c r="J347" s="58"/>
      <c r="K347" s="58"/>
      <c r="L347" s="59"/>
      <c r="M347" s="60">
        <v>4.0000000000000002E-4</v>
      </c>
      <c r="N347" s="61">
        <f t="shared" si="471"/>
        <v>195.77946519731685</v>
      </c>
      <c r="O347" s="58">
        <f t="shared" si="459"/>
        <v>5090.2660951302387</v>
      </c>
      <c r="P347" s="61">
        <f t="shared" si="460"/>
        <v>10180.532190260477</v>
      </c>
      <c r="Q347" s="61">
        <f t="shared" si="461"/>
        <v>7635.399142695358</v>
      </c>
      <c r="R347" s="61">
        <f t="shared" si="462"/>
        <v>2545.1330475651193</v>
      </c>
      <c r="S347" s="61">
        <f t="shared" si="463"/>
        <v>339.35107300868259</v>
      </c>
      <c r="T347" s="58">
        <f t="shared" si="429"/>
        <v>389.54109670666674</v>
      </c>
      <c r="U347" s="61">
        <f t="shared" si="464"/>
        <v>3817.699571347679</v>
      </c>
      <c r="V347" s="58">
        <f t="shared" si="465"/>
        <v>1272.5665237825597</v>
      </c>
      <c r="W347" s="101">
        <v>7.4999999999999997E-2</v>
      </c>
      <c r="X347" s="63">
        <f t="shared" si="466"/>
        <v>763.53991426953576</v>
      </c>
      <c r="Y347" s="61">
        <v>517.77069072525489</v>
      </c>
      <c r="Z347" s="61">
        <v>0</v>
      </c>
      <c r="AA347" s="61">
        <f t="shared" si="467"/>
        <v>1272.5665237825597</v>
      </c>
      <c r="AB347" s="61">
        <f t="shared" si="468"/>
        <v>254.51330475651196</v>
      </c>
      <c r="AC347" s="61">
        <v>1796.1455868399037</v>
      </c>
      <c r="AD347" s="61">
        <v>966.66570853242888</v>
      </c>
      <c r="AE347" s="61">
        <v>603.78869989533348</v>
      </c>
      <c r="AF347" s="61">
        <v>0</v>
      </c>
      <c r="AG347" s="61">
        <f t="shared" si="469"/>
        <v>351.22836056398648</v>
      </c>
      <c r="AH347" s="64"/>
      <c r="AI347" s="64"/>
      <c r="AJ347" s="67">
        <v>16</v>
      </c>
      <c r="AK347" s="73" t="s">
        <v>66</v>
      </c>
      <c r="AL347" s="78">
        <v>11034</v>
      </c>
      <c r="AM347" s="72" t="s">
        <v>490</v>
      </c>
      <c r="AN347" s="72" t="s">
        <v>487</v>
      </c>
      <c r="AO347" s="138">
        <f t="shared" si="472"/>
        <v>91624.789712344296</v>
      </c>
      <c r="AP347" s="65">
        <f t="shared" si="473"/>
        <v>30541.596570781432</v>
      </c>
      <c r="AQ347" s="65">
        <f t="shared" si="474"/>
        <v>9162.4789712344282</v>
      </c>
      <c r="AR347" s="65">
        <f t="shared" si="475"/>
        <v>6213.2482887030583</v>
      </c>
      <c r="AS347" s="65">
        <f t="shared" si="476"/>
        <v>0</v>
      </c>
      <c r="AT347" s="65">
        <f t="shared" si="477"/>
        <v>15270.798285390716</v>
      </c>
      <c r="AU347" s="65">
        <f t="shared" si="478"/>
        <v>3054.1596570781435</v>
      </c>
      <c r="AV347" s="65">
        <f t="shared" si="479"/>
        <v>21553.747042078845</v>
      </c>
      <c r="AW347" s="65">
        <f t="shared" si="480"/>
        <v>11599.988502389147</v>
      </c>
      <c r="AX347" s="65">
        <f t="shared" si="481"/>
        <v>7245.4643987440013</v>
      </c>
      <c r="AY347" s="65">
        <f t="shared" si="482"/>
        <v>0</v>
      </c>
      <c r="AZ347" s="65">
        <f t="shared" si="483"/>
        <v>4214.7403267678383</v>
      </c>
      <c r="BB347" s="64"/>
      <c r="BC347" s="66"/>
      <c r="BD347" s="66"/>
      <c r="BE347" s="66"/>
    </row>
    <row r="348" spans="1:177" ht="21" customHeight="1" x14ac:dyDescent="0.2">
      <c r="B348" s="67">
        <v>17</v>
      </c>
      <c r="C348" s="73" t="s">
        <v>66</v>
      </c>
      <c r="D348" s="78">
        <v>11108</v>
      </c>
      <c r="E348" s="72" t="s">
        <v>491</v>
      </c>
      <c r="F348" s="72" t="s">
        <v>487</v>
      </c>
      <c r="G348" s="55">
        <v>38384</v>
      </c>
      <c r="H348" s="56" t="str">
        <f t="shared" si="458"/>
        <v>19 AÑOS</v>
      </c>
      <c r="I348" s="57">
        <v>4894.4849425171324</v>
      </c>
      <c r="J348" s="58"/>
      <c r="K348" s="58"/>
      <c r="L348" s="59"/>
      <c r="M348" s="60">
        <v>4.0000000000000002E-4</v>
      </c>
      <c r="N348" s="61">
        <f t="shared" si="471"/>
        <v>195.77939770068531</v>
      </c>
      <c r="O348" s="58">
        <f t="shared" si="459"/>
        <v>5090.2643402178173</v>
      </c>
      <c r="P348" s="61">
        <f t="shared" si="460"/>
        <v>10180.528680435635</v>
      </c>
      <c r="Q348" s="61">
        <f t="shared" si="461"/>
        <v>7635.3965103267255</v>
      </c>
      <c r="R348" s="61">
        <f t="shared" si="462"/>
        <v>2545.1321701089087</v>
      </c>
      <c r="S348" s="61">
        <f t="shared" si="463"/>
        <v>339.35095601452116</v>
      </c>
      <c r="T348" s="58">
        <f t="shared" si="429"/>
        <v>389.54096240906881</v>
      </c>
      <c r="U348" s="61">
        <f t="shared" si="464"/>
        <v>3817.6982551633628</v>
      </c>
      <c r="V348" s="58">
        <f t="shared" si="465"/>
        <v>1272.5660850544543</v>
      </c>
      <c r="W348" s="101">
        <v>7.4999999999999997E-2</v>
      </c>
      <c r="X348" s="63">
        <f t="shared" si="466"/>
        <v>763.53965103267262</v>
      </c>
      <c r="Y348" s="61">
        <v>517.77040432354772</v>
      </c>
      <c r="Z348" s="61">
        <v>0</v>
      </c>
      <c r="AA348" s="61">
        <f t="shared" si="467"/>
        <v>1272.5660850544543</v>
      </c>
      <c r="AB348" s="61">
        <f t="shared" si="468"/>
        <v>254.51321701089088</v>
      </c>
      <c r="AC348" s="61">
        <v>1796.1451566692131</v>
      </c>
      <c r="AD348" s="61">
        <v>966.66537526622483</v>
      </c>
      <c r="AE348" s="61">
        <v>603.78849173405672</v>
      </c>
      <c r="AF348" s="61">
        <v>0</v>
      </c>
      <c r="AG348" s="61">
        <f t="shared" si="469"/>
        <v>351.22823947502934</v>
      </c>
      <c r="AH348" s="64"/>
      <c r="AI348" s="64"/>
      <c r="AJ348" s="67">
        <v>17</v>
      </c>
      <c r="AK348" s="73" t="s">
        <v>66</v>
      </c>
      <c r="AL348" s="78">
        <v>11108</v>
      </c>
      <c r="AM348" s="72" t="s">
        <v>491</v>
      </c>
      <c r="AN348" s="72" t="s">
        <v>487</v>
      </c>
      <c r="AO348" s="138">
        <f t="shared" si="472"/>
        <v>91624.758123920707</v>
      </c>
      <c r="AP348" s="65">
        <f t="shared" si="473"/>
        <v>30541.586041306902</v>
      </c>
      <c r="AQ348" s="65">
        <f t="shared" si="474"/>
        <v>9162.475812392071</v>
      </c>
      <c r="AR348" s="65">
        <f t="shared" si="475"/>
        <v>6213.2448518825731</v>
      </c>
      <c r="AS348" s="65">
        <f t="shared" si="476"/>
        <v>0</v>
      </c>
      <c r="AT348" s="65">
        <f t="shared" si="477"/>
        <v>15270.793020653451</v>
      </c>
      <c r="AU348" s="65">
        <f t="shared" si="478"/>
        <v>3054.1586041306905</v>
      </c>
      <c r="AV348" s="65">
        <f t="shared" si="479"/>
        <v>21553.741880030557</v>
      </c>
      <c r="AW348" s="65">
        <f t="shared" si="480"/>
        <v>11599.984503194697</v>
      </c>
      <c r="AX348" s="65">
        <f t="shared" si="481"/>
        <v>7245.4619008086811</v>
      </c>
      <c r="AY348" s="65">
        <f t="shared" si="482"/>
        <v>0</v>
      </c>
      <c r="AZ348" s="65">
        <f t="shared" si="483"/>
        <v>4214.7388737003521</v>
      </c>
      <c r="BB348" s="64"/>
      <c r="BC348" s="66"/>
      <c r="BD348" s="66"/>
      <c r="BE348" s="66"/>
    </row>
    <row r="349" spans="1:177" ht="21" customHeight="1" x14ac:dyDescent="0.2">
      <c r="B349" s="67">
        <v>18</v>
      </c>
      <c r="C349" s="73" t="s">
        <v>66</v>
      </c>
      <c r="D349" s="78">
        <v>11037</v>
      </c>
      <c r="E349" s="72" t="s">
        <v>492</v>
      </c>
      <c r="F349" s="72" t="s">
        <v>487</v>
      </c>
      <c r="G349" s="55">
        <v>35962</v>
      </c>
      <c r="H349" s="56" t="str">
        <f t="shared" si="458"/>
        <v>26 AÑOS</v>
      </c>
      <c r="I349" s="57">
        <v>4894.4866299329215</v>
      </c>
      <c r="J349" s="58"/>
      <c r="K349" s="58"/>
      <c r="L349" s="59"/>
      <c r="M349" s="60">
        <v>4.0000000000000002E-4</v>
      </c>
      <c r="N349" s="61">
        <f t="shared" si="471"/>
        <v>195.77946519731685</v>
      </c>
      <c r="O349" s="58">
        <f t="shared" si="459"/>
        <v>5090.2660951302387</v>
      </c>
      <c r="P349" s="61">
        <f t="shared" si="460"/>
        <v>10180.532190260477</v>
      </c>
      <c r="Q349" s="61">
        <f t="shared" si="461"/>
        <v>7635.399142695358</v>
      </c>
      <c r="R349" s="61">
        <f t="shared" si="462"/>
        <v>2545.1330475651193</v>
      </c>
      <c r="S349" s="61">
        <f t="shared" si="463"/>
        <v>339.35107300868259</v>
      </c>
      <c r="T349" s="58">
        <f t="shared" si="429"/>
        <v>389.54109670666674</v>
      </c>
      <c r="U349" s="61">
        <f t="shared" si="464"/>
        <v>3817.699571347679</v>
      </c>
      <c r="V349" s="58">
        <f t="shared" si="465"/>
        <v>1272.5665237825597</v>
      </c>
      <c r="W349" s="101">
        <v>7.4999999999999997E-2</v>
      </c>
      <c r="X349" s="63">
        <f t="shared" si="466"/>
        <v>763.53991426953576</v>
      </c>
      <c r="Y349" s="61">
        <v>517.77069072525489</v>
      </c>
      <c r="Z349" s="61">
        <v>0</v>
      </c>
      <c r="AA349" s="61">
        <f t="shared" si="467"/>
        <v>1272.5665237825597</v>
      </c>
      <c r="AB349" s="61">
        <f t="shared" si="468"/>
        <v>254.51330475651196</v>
      </c>
      <c r="AC349" s="61">
        <v>1796.1455868399037</v>
      </c>
      <c r="AD349" s="61">
        <v>966.66570853242888</v>
      </c>
      <c r="AE349" s="61">
        <v>603.78869989533348</v>
      </c>
      <c r="AF349" s="61">
        <v>0</v>
      </c>
      <c r="AG349" s="61">
        <f t="shared" si="469"/>
        <v>351.22836056398648</v>
      </c>
      <c r="AH349" s="64"/>
      <c r="AI349" s="64"/>
      <c r="AJ349" s="67">
        <v>18</v>
      </c>
      <c r="AK349" s="73" t="s">
        <v>66</v>
      </c>
      <c r="AL349" s="78">
        <v>11037</v>
      </c>
      <c r="AM349" s="72" t="s">
        <v>492</v>
      </c>
      <c r="AN349" s="72" t="s">
        <v>487</v>
      </c>
      <c r="AO349" s="138">
        <f t="shared" si="472"/>
        <v>91624.789712344296</v>
      </c>
      <c r="AP349" s="65">
        <f t="shared" si="473"/>
        <v>30541.596570781432</v>
      </c>
      <c r="AQ349" s="65">
        <f t="shared" si="474"/>
        <v>9162.4789712344282</v>
      </c>
      <c r="AR349" s="65">
        <f t="shared" si="475"/>
        <v>6213.2482887030583</v>
      </c>
      <c r="AS349" s="65">
        <f t="shared" si="476"/>
        <v>0</v>
      </c>
      <c r="AT349" s="65">
        <f t="shared" si="477"/>
        <v>15270.798285390716</v>
      </c>
      <c r="AU349" s="65">
        <f t="shared" si="478"/>
        <v>3054.1596570781435</v>
      </c>
      <c r="AV349" s="65">
        <f t="shared" si="479"/>
        <v>21553.747042078845</v>
      </c>
      <c r="AW349" s="65">
        <f t="shared" si="480"/>
        <v>11599.988502389147</v>
      </c>
      <c r="AX349" s="65">
        <f t="shared" si="481"/>
        <v>7245.4643987440013</v>
      </c>
      <c r="AY349" s="65">
        <f t="shared" si="482"/>
        <v>0</v>
      </c>
      <c r="AZ349" s="65">
        <f t="shared" si="483"/>
        <v>4214.7403267678383</v>
      </c>
      <c r="BB349" s="64"/>
      <c r="BC349" s="66"/>
      <c r="BD349" s="66"/>
      <c r="BE349" s="66"/>
    </row>
    <row r="350" spans="1:177" ht="21" customHeight="1" x14ac:dyDescent="0.2">
      <c r="B350" s="67">
        <v>19</v>
      </c>
      <c r="C350" s="73" t="s">
        <v>66</v>
      </c>
      <c r="D350" s="78">
        <v>11109</v>
      </c>
      <c r="E350" s="72" t="s">
        <v>493</v>
      </c>
      <c r="F350" s="72" t="s">
        <v>487</v>
      </c>
      <c r="G350" s="55">
        <v>38384</v>
      </c>
      <c r="H350" s="56" t="str">
        <f t="shared" si="458"/>
        <v>19 AÑOS</v>
      </c>
      <c r="I350" s="57">
        <v>4894.4866299329215</v>
      </c>
      <c r="J350" s="58"/>
      <c r="K350" s="58"/>
      <c r="L350" s="59"/>
      <c r="M350" s="60">
        <v>4.0000000000000002E-4</v>
      </c>
      <c r="N350" s="61">
        <f t="shared" si="471"/>
        <v>195.77946519731685</v>
      </c>
      <c r="O350" s="58">
        <f t="shared" si="459"/>
        <v>5090.2660951302387</v>
      </c>
      <c r="P350" s="61">
        <f t="shared" si="460"/>
        <v>10180.532190260477</v>
      </c>
      <c r="Q350" s="61">
        <f t="shared" si="461"/>
        <v>7635.399142695358</v>
      </c>
      <c r="R350" s="61">
        <f t="shared" si="462"/>
        <v>2545.1330475651193</v>
      </c>
      <c r="S350" s="61">
        <f t="shared" si="463"/>
        <v>339.35107300868259</v>
      </c>
      <c r="T350" s="58">
        <f t="shared" si="429"/>
        <v>389.54109670666674</v>
      </c>
      <c r="U350" s="61">
        <f t="shared" si="464"/>
        <v>3817.699571347679</v>
      </c>
      <c r="V350" s="58">
        <f t="shared" si="465"/>
        <v>1272.5665237825597</v>
      </c>
      <c r="W350" s="101">
        <v>7.4999999999999997E-2</v>
      </c>
      <c r="X350" s="63">
        <f t="shared" si="466"/>
        <v>763.53991426953576</v>
      </c>
      <c r="Y350" s="61">
        <v>517.77069072525489</v>
      </c>
      <c r="Z350" s="61">
        <v>0</v>
      </c>
      <c r="AA350" s="61">
        <f t="shared" si="467"/>
        <v>1272.5665237825597</v>
      </c>
      <c r="AB350" s="61">
        <f t="shared" si="468"/>
        <v>254.51330475651196</v>
      </c>
      <c r="AC350" s="61">
        <v>1796.1455868399037</v>
      </c>
      <c r="AD350" s="61">
        <v>966.66570853242888</v>
      </c>
      <c r="AE350" s="61">
        <v>603.78869989533348</v>
      </c>
      <c r="AF350" s="61">
        <v>0</v>
      </c>
      <c r="AG350" s="61">
        <f t="shared" si="469"/>
        <v>351.22836056398648</v>
      </c>
      <c r="AH350" s="64"/>
      <c r="AI350" s="64"/>
      <c r="AJ350" s="67">
        <v>19</v>
      </c>
      <c r="AK350" s="73" t="s">
        <v>66</v>
      </c>
      <c r="AL350" s="78">
        <v>11109</v>
      </c>
      <c r="AM350" s="72" t="s">
        <v>493</v>
      </c>
      <c r="AN350" s="72" t="s">
        <v>487</v>
      </c>
      <c r="AO350" s="138">
        <f t="shared" si="472"/>
        <v>91624.789712344296</v>
      </c>
      <c r="AP350" s="65">
        <f t="shared" si="473"/>
        <v>30541.596570781432</v>
      </c>
      <c r="AQ350" s="65">
        <f t="shared" si="474"/>
        <v>9162.4789712344282</v>
      </c>
      <c r="AR350" s="65">
        <f t="shared" si="475"/>
        <v>6213.2482887030583</v>
      </c>
      <c r="AS350" s="65">
        <f t="shared" si="476"/>
        <v>0</v>
      </c>
      <c r="AT350" s="65">
        <f t="shared" si="477"/>
        <v>15270.798285390716</v>
      </c>
      <c r="AU350" s="65">
        <f t="shared" si="478"/>
        <v>3054.1596570781435</v>
      </c>
      <c r="AV350" s="65">
        <f t="shared" si="479"/>
        <v>21553.747042078845</v>
      </c>
      <c r="AW350" s="65">
        <f t="shared" si="480"/>
        <v>11599.988502389147</v>
      </c>
      <c r="AX350" s="65">
        <f t="shared" si="481"/>
        <v>7245.4643987440013</v>
      </c>
      <c r="AY350" s="65">
        <f t="shared" si="482"/>
        <v>0</v>
      </c>
      <c r="AZ350" s="65">
        <f t="shared" si="483"/>
        <v>4214.7403267678383</v>
      </c>
      <c r="BB350" s="64"/>
      <c r="BC350" s="66"/>
      <c r="BD350" s="66"/>
      <c r="BE350" s="66"/>
    </row>
    <row r="351" spans="1:177" ht="21" customHeight="1" x14ac:dyDescent="0.2">
      <c r="B351" s="67">
        <v>20</v>
      </c>
      <c r="C351" s="73" t="s">
        <v>66</v>
      </c>
      <c r="D351" s="78">
        <v>11006</v>
      </c>
      <c r="E351" s="72" t="s">
        <v>494</v>
      </c>
      <c r="F351" s="72" t="s">
        <v>495</v>
      </c>
      <c r="G351" s="55">
        <v>35810</v>
      </c>
      <c r="H351" s="55" t="str">
        <f t="shared" si="458"/>
        <v>26 AÑOS</v>
      </c>
      <c r="I351" s="57">
        <v>7852.7135934508487</v>
      </c>
      <c r="J351" s="57"/>
      <c r="K351" s="57"/>
      <c r="L351" s="74"/>
      <c r="M351" s="171">
        <v>4.0000000000000002E-4</v>
      </c>
      <c r="N351" s="81">
        <f t="shared" si="471"/>
        <v>314.10854373803397</v>
      </c>
      <c r="O351" s="57">
        <f t="shared" si="459"/>
        <v>8166.8221371888831</v>
      </c>
      <c r="P351" s="81">
        <f t="shared" si="460"/>
        <v>16333.644274377766</v>
      </c>
      <c r="Q351" s="81">
        <f t="shared" si="461"/>
        <v>12250.233205783325</v>
      </c>
      <c r="R351" s="81">
        <f t="shared" si="462"/>
        <v>4083.4110685944415</v>
      </c>
      <c r="S351" s="81">
        <f t="shared" si="463"/>
        <v>544.45480914592554</v>
      </c>
      <c r="T351" s="57">
        <f t="shared" si="429"/>
        <v>624.97967541860783</v>
      </c>
      <c r="U351" s="81">
        <f t="shared" si="464"/>
        <v>6125.1166028916623</v>
      </c>
      <c r="V351" s="57">
        <f t="shared" si="465"/>
        <v>2041.7055342972208</v>
      </c>
      <c r="W351" s="101">
        <v>7.4999999999999997E-2</v>
      </c>
      <c r="X351" s="158">
        <f t="shared" si="466"/>
        <v>1225.0233205783325</v>
      </c>
      <c r="Y351" s="81">
        <v>1084.9941129253318</v>
      </c>
      <c r="Z351" s="81">
        <v>0</v>
      </c>
      <c r="AA351" s="81">
        <f t="shared" si="467"/>
        <v>2041.7055342972208</v>
      </c>
      <c r="AB351" s="81">
        <f t="shared" si="468"/>
        <v>408.34110685944415</v>
      </c>
      <c r="AC351" s="81">
        <v>2550.2825005223763</v>
      </c>
      <c r="AD351" s="81">
        <v>1638.1029782559422</v>
      </c>
      <c r="AE351" s="81">
        <v>968.7184968988422</v>
      </c>
      <c r="AF351" s="81">
        <v>0</v>
      </c>
      <c r="AG351" s="81">
        <f t="shared" si="469"/>
        <v>563.5107274660329</v>
      </c>
      <c r="AH351" s="64"/>
      <c r="AI351" s="64"/>
      <c r="AJ351" s="67">
        <v>20</v>
      </c>
      <c r="AK351" s="73" t="s">
        <v>66</v>
      </c>
      <c r="AL351" s="78">
        <v>11006</v>
      </c>
      <c r="AM351" s="72" t="s">
        <v>494</v>
      </c>
      <c r="AN351" s="72" t="s">
        <v>495</v>
      </c>
      <c r="AO351" s="126">
        <f t="shared" si="472"/>
        <v>147002.79846939989</v>
      </c>
      <c r="AP351" s="159">
        <f t="shared" si="473"/>
        <v>49000.932823133298</v>
      </c>
      <c r="AQ351" s="159">
        <f t="shared" si="474"/>
        <v>14700.27984693999</v>
      </c>
      <c r="AR351" s="159">
        <f t="shared" si="475"/>
        <v>13019.929355103981</v>
      </c>
      <c r="AS351" s="159">
        <f t="shared" si="476"/>
        <v>0</v>
      </c>
      <c r="AT351" s="159">
        <f t="shared" si="477"/>
        <v>24500.466411566649</v>
      </c>
      <c r="AU351" s="159">
        <f t="shared" si="478"/>
        <v>4900.0932823133298</v>
      </c>
      <c r="AV351" s="159">
        <f t="shared" si="479"/>
        <v>30603.390006268513</v>
      </c>
      <c r="AW351" s="159">
        <f t="shared" si="480"/>
        <v>19657.235739071308</v>
      </c>
      <c r="AX351" s="159">
        <f t="shared" si="481"/>
        <v>11624.621962786106</v>
      </c>
      <c r="AY351" s="159">
        <f t="shared" si="482"/>
        <v>0</v>
      </c>
      <c r="AZ351" s="159">
        <f t="shared" si="483"/>
        <v>6762.1287295923948</v>
      </c>
      <c r="BB351" s="64"/>
      <c r="BC351" s="66"/>
      <c r="BD351" s="66"/>
      <c r="BE351" s="66"/>
    </row>
    <row r="352" spans="1:177" ht="21" customHeight="1" x14ac:dyDescent="0.2">
      <c r="B352" s="67">
        <v>21</v>
      </c>
      <c r="C352" s="73" t="s">
        <v>66</v>
      </c>
      <c r="D352" s="67">
        <v>11189</v>
      </c>
      <c r="E352" s="73" t="s">
        <v>496</v>
      </c>
      <c r="F352" s="72" t="s">
        <v>497</v>
      </c>
      <c r="G352" s="169">
        <v>44881</v>
      </c>
      <c r="H352" s="55" t="str">
        <f t="shared" si="458"/>
        <v>2 AÑOS</v>
      </c>
      <c r="I352" s="57">
        <v>6307.483927960644</v>
      </c>
      <c r="J352" s="57"/>
      <c r="K352" s="57"/>
      <c r="L352" s="74"/>
      <c r="M352" s="171">
        <v>4.0000000000000002E-4</v>
      </c>
      <c r="N352" s="81">
        <f t="shared" si="471"/>
        <v>252.29935711842577</v>
      </c>
      <c r="O352" s="57">
        <f t="shared" si="459"/>
        <v>6559.7832850790701</v>
      </c>
      <c r="P352" s="81">
        <f t="shared" si="460"/>
        <v>13119.56657015814</v>
      </c>
      <c r="Q352" s="81">
        <f t="shared" si="461"/>
        <v>9839.6749276186056</v>
      </c>
      <c r="R352" s="81">
        <f t="shared" si="462"/>
        <v>3279.891642539535</v>
      </c>
      <c r="S352" s="81">
        <f t="shared" si="463"/>
        <v>437.31888567193801</v>
      </c>
      <c r="T352" s="57">
        <f t="shared" si="429"/>
        <v>501.99834886281758</v>
      </c>
      <c r="U352" s="81">
        <f t="shared" si="464"/>
        <v>4919.8374638093028</v>
      </c>
      <c r="V352" s="57">
        <f t="shared" si="465"/>
        <v>1639.9458212697675</v>
      </c>
      <c r="W352" s="101">
        <v>0</v>
      </c>
      <c r="X352" s="158">
        <f t="shared" si="466"/>
        <v>0</v>
      </c>
      <c r="Y352" s="81">
        <v>757.59589612490424</v>
      </c>
      <c r="Z352" s="81">
        <v>0</v>
      </c>
      <c r="AA352" s="81">
        <f t="shared" si="467"/>
        <v>1639.9458212697675</v>
      </c>
      <c r="AB352" s="81">
        <f t="shared" si="468"/>
        <v>327.9891642539535</v>
      </c>
      <c r="AC352" s="81">
        <v>2156.3591318172284</v>
      </c>
      <c r="AD352" s="81">
        <v>1315.7627722868881</v>
      </c>
      <c r="AE352" s="81">
        <v>778.09744073736738</v>
      </c>
      <c r="AF352" s="81">
        <v>0</v>
      </c>
      <c r="AG352" s="81">
        <f t="shared" si="469"/>
        <v>452.62504667045584</v>
      </c>
      <c r="AH352" s="64"/>
      <c r="AI352" s="64"/>
      <c r="AJ352" s="67">
        <v>21</v>
      </c>
      <c r="AK352" s="73" t="s">
        <v>66</v>
      </c>
      <c r="AL352" s="67">
        <v>11189</v>
      </c>
      <c r="AM352" s="73" t="s">
        <v>496</v>
      </c>
      <c r="AN352" s="72" t="s">
        <v>497</v>
      </c>
      <c r="AO352" s="159">
        <f t="shared" si="472"/>
        <v>118076.09913142327</v>
      </c>
      <c r="AP352" s="159">
        <f t="shared" si="473"/>
        <v>39358.699710474422</v>
      </c>
      <c r="AQ352" s="159">
        <f t="shared" si="474"/>
        <v>0</v>
      </c>
      <c r="AR352" s="159">
        <f t="shared" si="475"/>
        <v>9091.1507534988505</v>
      </c>
      <c r="AS352" s="159">
        <f t="shared" si="476"/>
        <v>0</v>
      </c>
      <c r="AT352" s="159">
        <f t="shared" si="477"/>
        <v>19679.349855237211</v>
      </c>
      <c r="AU352" s="159">
        <f t="shared" si="478"/>
        <v>3935.869971047442</v>
      </c>
      <c r="AV352" s="159">
        <f t="shared" si="479"/>
        <v>25876.309581806741</v>
      </c>
      <c r="AW352" s="159">
        <f t="shared" si="480"/>
        <v>15789.153267442656</v>
      </c>
      <c r="AX352" s="159">
        <f t="shared" si="481"/>
        <v>9337.1692888484085</v>
      </c>
      <c r="AY352" s="159">
        <f t="shared" si="482"/>
        <v>0</v>
      </c>
      <c r="AZ352" s="159">
        <f t="shared" si="483"/>
        <v>5431.5005600454697</v>
      </c>
      <c r="BB352" s="64"/>
      <c r="BC352" s="66"/>
      <c r="BD352" s="66"/>
      <c r="BE352" s="66"/>
    </row>
    <row r="353" spans="1:177" ht="21" customHeight="1" x14ac:dyDescent="0.2">
      <c r="B353" s="67">
        <v>22</v>
      </c>
      <c r="C353" s="73" t="s">
        <v>66</v>
      </c>
      <c r="D353" s="67">
        <v>6027</v>
      </c>
      <c r="E353" s="72" t="s">
        <v>498</v>
      </c>
      <c r="F353" s="72" t="s">
        <v>499</v>
      </c>
      <c r="G353" s="55">
        <v>30956</v>
      </c>
      <c r="H353" s="55" t="str">
        <f t="shared" si="458"/>
        <v>40 AÑOS</v>
      </c>
      <c r="I353" s="57">
        <v>7837.7560437490411</v>
      </c>
      <c r="J353" s="57"/>
      <c r="K353" s="57"/>
      <c r="L353" s="74"/>
      <c r="M353" s="171">
        <v>4.0000000000000002E-4</v>
      </c>
      <c r="N353" s="81">
        <f t="shared" si="471"/>
        <v>313.51024174996166</v>
      </c>
      <c r="O353" s="57">
        <f t="shared" si="459"/>
        <v>8151.2662854990031</v>
      </c>
      <c r="P353" s="81">
        <f t="shared" si="460"/>
        <v>16302.532570998006</v>
      </c>
      <c r="Q353" s="81">
        <f t="shared" si="461"/>
        <v>12226.899428248504</v>
      </c>
      <c r="R353" s="81">
        <f t="shared" si="462"/>
        <v>4075.6331427495015</v>
      </c>
      <c r="S353" s="81">
        <f t="shared" si="463"/>
        <v>543.41775236660021</v>
      </c>
      <c r="T353" s="57">
        <f t="shared" si="429"/>
        <v>623.78923794162029</v>
      </c>
      <c r="U353" s="81">
        <f t="shared" si="464"/>
        <v>6113.4497141242518</v>
      </c>
      <c r="V353" s="57">
        <f t="shared" si="465"/>
        <v>2037.8165713747508</v>
      </c>
      <c r="W353" s="101">
        <v>7.4999999999999997E-2</v>
      </c>
      <c r="X353" s="158">
        <f t="shared" si="466"/>
        <v>1222.6899428248505</v>
      </c>
      <c r="Y353" s="81">
        <v>1081.2607085197606</v>
      </c>
      <c r="Z353" s="81">
        <v>0</v>
      </c>
      <c r="AA353" s="81">
        <f t="shared" si="467"/>
        <v>2037.816571374751</v>
      </c>
      <c r="AB353" s="81">
        <f t="shared" si="468"/>
        <v>407.56331427495019</v>
      </c>
      <c r="AC353" s="81">
        <v>2546.4693920261448</v>
      </c>
      <c r="AD353" s="81">
        <v>1634.9827821068839</v>
      </c>
      <c r="AE353" s="81">
        <v>966.8733188095116</v>
      </c>
      <c r="AF353" s="81">
        <v>0</v>
      </c>
      <c r="AG353" s="81">
        <f t="shared" si="469"/>
        <v>562.43737369943119</v>
      </c>
      <c r="AH353" s="64"/>
      <c r="AI353" s="64"/>
      <c r="AJ353" s="67">
        <v>22</v>
      </c>
      <c r="AK353" s="73" t="s">
        <v>66</v>
      </c>
      <c r="AL353" s="67">
        <v>6027</v>
      </c>
      <c r="AM353" s="72" t="s">
        <v>498</v>
      </c>
      <c r="AN353" s="72" t="s">
        <v>499</v>
      </c>
      <c r="AO353" s="159">
        <f t="shared" si="472"/>
        <v>146722.79313898203</v>
      </c>
      <c r="AP353" s="159">
        <f t="shared" si="473"/>
        <v>48907.597712994015</v>
      </c>
      <c r="AQ353" s="159">
        <f t="shared" si="474"/>
        <v>14672.279313898205</v>
      </c>
      <c r="AR353" s="159">
        <f t="shared" si="475"/>
        <v>12975.128502237127</v>
      </c>
      <c r="AS353" s="159">
        <f t="shared" si="476"/>
        <v>0</v>
      </c>
      <c r="AT353" s="159">
        <f t="shared" si="477"/>
        <v>24453.798856497011</v>
      </c>
      <c r="AU353" s="159">
        <f t="shared" si="478"/>
        <v>4890.759771299402</v>
      </c>
      <c r="AV353" s="159">
        <f t="shared" si="479"/>
        <v>30557.632704313735</v>
      </c>
      <c r="AW353" s="159">
        <f t="shared" si="480"/>
        <v>19619.793385282606</v>
      </c>
      <c r="AX353" s="159">
        <f t="shared" si="481"/>
        <v>11602.479825714139</v>
      </c>
      <c r="AY353" s="159">
        <f t="shared" si="482"/>
        <v>0</v>
      </c>
      <c r="AZ353" s="159">
        <f t="shared" si="483"/>
        <v>6749.2484843931743</v>
      </c>
      <c r="BB353" s="64"/>
      <c r="BC353" s="66"/>
      <c r="BD353" s="66"/>
      <c r="BE353" s="66"/>
    </row>
    <row r="354" spans="1:177" ht="21" customHeight="1" x14ac:dyDescent="0.2">
      <c r="B354" s="67">
        <v>23</v>
      </c>
      <c r="C354" s="73" t="s">
        <v>66</v>
      </c>
      <c r="D354" s="67">
        <v>11188</v>
      </c>
      <c r="E354" s="72" t="s">
        <v>500</v>
      </c>
      <c r="F354" s="72" t="s">
        <v>501</v>
      </c>
      <c r="G354" s="55">
        <v>44652</v>
      </c>
      <c r="H354" s="55" t="str">
        <f t="shared" si="458"/>
        <v>2 AÑOS</v>
      </c>
      <c r="I354" s="57">
        <v>5667.1014626780252</v>
      </c>
      <c r="J354" s="57"/>
      <c r="K354" s="57"/>
      <c r="L354" s="74"/>
      <c r="M354" s="171">
        <v>4.0000000000000002E-4</v>
      </c>
      <c r="N354" s="81">
        <f t="shared" si="471"/>
        <v>226.68405850712102</v>
      </c>
      <c r="O354" s="57">
        <f t="shared" si="459"/>
        <v>5893.7855211851465</v>
      </c>
      <c r="P354" s="81">
        <f t="shared" si="460"/>
        <v>11787.571042370293</v>
      </c>
      <c r="Q354" s="81">
        <f t="shared" si="461"/>
        <v>8840.6782817777203</v>
      </c>
      <c r="R354" s="81">
        <f t="shared" si="462"/>
        <v>2946.8927605925733</v>
      </c>
      <c r="S354" s="81">
        <f t="shared" si="463"/>
        <v>392.91903474567641</v>
      </c>
      <c r="T354" s="57">
        <f t="shared" si="429"/>
        <v>451.03175998456192</v>
      </c>
      <c r="U354" s="81">
        <f t="shared" si="464"/>
        <v>4420.3391408888601</v>
      </c>
      <c r="V354" s="57">
        <f t="shared" si="465"/>
        <v>1473.4463802962866</v>
      </c>
      <c r="W354" s="101">
        <v>0</v>
      </c>
      <c r="X354" s="158">
        <f t="shared" si="466"/>
        <v>0</v>
      </c>
      <c r="Y354" s="81">
        <v>648.90506105741588</v>
      </c>
      <c r="Z354" s="81">
        <v>0</v>
      </c>
      <c r="AA354" s="81">
        <f t="shared" si="467"/>
        <v>1473.4463802962864</v>
      </c>
      <c r="AB354" s="81">
        <f t="shared" si="468"/>
        <v>294.68927605925734</v>
      </c>
      <c r="AC354" s="81">
        <v>1993.107271192478</v>
      </c>
      <c r="AD354" s="81">
        <v>1182.176794507536</v>
      </c>
      <c r="AE354" s="81">
        <v>699.09922797607101</v>
      </c>
      <c r="AF354" s="81">
        <v>0</v>
      </c>
      <c r="AG354" s="81">
        <f t="shared" si="469"/>
        <v>406.67120096177513</v>
      </c>
      <c r="AH354" s="64"/>
      <c r="AI354" s="64"/>
      <c r="AJ354" s="67">
        <v>23</v>
      </c>
      <c r="AK354" s="73" t="s">
        <v>66</v>
      </c>
      <c r="AL354" s="67">
        <v>11188</v>
      </c>
      <c r="AM354" s="72" t="s">
        <v>500</v>
      </c>
      <c r="AN354" s="72" t="s">
        <v>501</v>
      </c>
      <c r="AO354" s="159">
        <f t="shared" si="472"/>
        <v>106088.13938133264</v>
      </c>
      <c r="AP354" s="159">
        <f t="shared" si="473"/>
        <v>35362.713127110881</v>
      </c>
      <c r="AQ354" s="159">
        <f t="shared" si="474"/>
        <v>0</v>
      </c>
      <c r="AR354" s="159">
        <f t="shared" si="475"/>
        <v>7786.8607326889905</v>
      </c>
      <c r="AS354" s="159">
        <f t="shared" si="476"/>
        <v>0</v>
      </c>
      <c r="AT354" s="159">
        <f t="shared" si="477"/>
        <v>17681.356563555437</v>
      </c>
      <c r="AU354" s="159">
        <f t="shared" si="478"/>
        <v>3536.2713127110883</v>
      </c>
      <c r="AV354" s="159">
        <f t="shared" si="479"/>
        <v>23917.287254309736</v>
      </c>
      <c r="AW354" s="159">
        <f t="shared" si="480"/>
        <v>14186.121534090431</v>
      </c>
      <c r="AX354" s="159">
        <f t="shared" si="481"/>
        <v>8389.1907357128512</v>
      </c>
      <c r="AY354" s="159">
        <f t="shared" si="482"/>
        <v>0</v>
      </c>
      <c r="AZ354" s="159">
        <f t="shared" si="483"/>
        <v>4880.0544115413013</v>
      </c>
      <c r="BB354" s="64"/>
      <c r="BC354" s="66"/>
      <c r="BD354" s="66"/>
      <c r="BE354" s="66"/>
    </row>
    <row r="355" spans="1:177" ht="21" customHeight="1" x14ac:dyDescent="0.2">
      <c r="B355" s="67">
        <v>24</v>
      </c>
      <c r="C355" s="73" t="s">
        <v>66</v>
      </c>
      <c r="D355" s="67">
        <v>11007</v>
      </c>
      <c r="E355" s="72" t="s">
        <v>502</v>
      </c>
      <c r="F355" s="72" t="s">
        <v>503</v>
      </c>
      <c r="G355" s="55">
        <v>36815</v>
      </c>
      <c r="H355" s="55" t="str">
        <f t="shared" si="458"/>
        <v>24 AÑOS</v>
      </c>
      <c r="I355" s="57">
        <v>7852.7135934508487</v>
      </c>
      <c r="J355" s="57"/>
      <c r="K355" s="57"/>
      <c r="L355" s="74"/>
      <c r="M355" s="171">
        <v>4.0000000000000002E-4</v>
      </c>
      <c r="N355" s="81">
        <f t="shared" si="471"/>
        <v>314.10854373803397</v>
      </c>
      <c r="O355" s="57">
        <f t="shared" si="459"/>
        <v>8166.8221371888831</v>
      </c>
      <c r="P355" s="81">
        <f t="shared" si="460"/>
        <v>16333.644274377766</v>
      </c>
      <c r="Q355" s="81">
        <f t="shared" si="461"/>
        <v>12250.233205783325</v>
      </c>
      <c r="R355" s="81">
        <f t="shared" si="462"/>
        <v>4083.4110685944415</v>
      </c>
      <c r="S355" s="81">
        <f t="shared" si="463"/>
        <v>544.45480914592554</v>
      </c>
      <c r="T355" s="57">
        <f t="shared" si="429"/>
        <v>624.97967541860783</v>
      </c>
      <c r="U355" s="81">
        <f t="shared" si="464"/>
        <v>6125.1166028916623</v>
      </c>
      <c r="V355" s="57">
        <f t="shared" si="465"/>
        <v>2041.7055342972208</v>
      </c>
      <c r="W355" s="101">
        <v>7.4999999999999997E-2</v>
      </c>
      <c r="X355" s="158">
        <f t="shared" si="466"/>
        <v>1225.0233205783325</v>
      </c>
      <c r="Y355" s="81">
        <v>1084.9941129253318</v>
      </c>
      <c r="Z355" s="81">
        <v>0</v>
      </c>
      <c r="AA355" s="81">
        <f t="shared" si="467"/>
        <v>2041.7055342972208</v>
      </c>
      <c r="AB355" s="81">
        <f t="shared" si="468"/>
        <v>408.34110685944415</v>
      </c>
      <c r="AC355" s="81">
        <v>2550.2825005223763</v>
      </c>
      <c r="AD355" s="81">
        <v>1638.1029782559422</v>
      </c>
      <c r="AE355" s="81">
        <v>968.7184968988422</v>
      </c>
      <c r="AF355" s="81">
        <v>0</v>
      </c>
      <c r="AG355" s="81">
        <f t="shared" si="469"/>
        <v>563.5107274660329</v>
      </c>
      <c r="AH355" s="64"/>
      <c r="AI355" s="64"/>
      <c r="AJ355" s="67">
        <v>24</v>
      </c>
      <c r="AK355" s="73" t="s">
        <v>66</v>
      </c>
      <c r="AL355" s="67">
        <v>11007</v>
      </c>
      <c r="AM355" s="72" t="s">
        <v>502</v>
      </c>
      <c r="AN355" s="72" t="s">
        <v>503</v>
      </c>
      <c r="AO355" s="159">
        <f t="shared" si="472"/>
        <v>147002.79846939989</v>
      </c>
      <c r="AP355" s="159">
        <f t="shared" si="473"/>
        <v>49000.932823133298</v>
      </c>
      <c r="AQ355" s="159">
        <f t="shared" si="474"/>
        <v>14700.27984693999</v>
      </c>
      <c r="AR355" s="159">
        <f t="shared" si="475"/>
        <v>13019.929355103981</v>
      </c>
      <c r="AS355" s="159">
        <f t="shared" si="476"/>
        <v>0</v>
      </c>
      <c r="AT355" s="159">
        <f t="shared" si="477"/>
        <v>24500.466411566649</v>
      </c>
      <c r="AU355" s="159">
        <f t="shared" si="478"/>
        <v>4900.0932823133298</v>
      </c>
      <c r="AV355" s="159">
        <f t="shared" si="479"/>
        <v>30603.390006268513</v>
      </c>
      <c r="AW355" s="159">
        <f t="shared" si="480"/>
        <v>19657.235739071308</v>
      </c>
      <c r="AX355" s="159">
        <f t="shared" si="481"/>
        <v>11624.621962786106</v>
      </c>
      <c r="AY355" s="159">
        <f t="shared" si="482"/>
        <v>0</v>
      </c>
      <c r="AZ355" s="159">
        <f t="shared" si="483"/>
        <v>6762.1287295923948</v>
      </c>
      <c r="BB355" s="64"/>
      <c r="BC355" s="66"/>
      <c r="BD355" s="66"/>
      <c r="BE355" s="66"/>
    </row>
    <row r="356" spans="1:177" ht="21" customHeight="1" x14ac:dyDescent="0.2">
      <c r="B356" s="67">
        <v>25</v>
      </c>
      <c r="C356" s="73" t="s">
        <v>66</v>
      </c>
      <c r="D356" s="67">
        <v>11172</v>
      </c>
      <c r="E356" s="72" t="s">
        <v>504</v>
      </c>
      <c r="F356" s="79" t="s">
        <v>505</v>
      </c>
      <c r="G356" s="55">
        <v>43482</v>
      </c>
      <c r="H356" s="55" t="str">
        <f t="shared" si="458"/>
        <v>5 AÑOS</v>
      </c>
      <c r="I356" s="57">
        <v>7182.1065870339517</v>
      </c>
      <c r="J356" s="57"/>
      <c r="K356" s="57"/>
      <c r="L356" s="74"/>
      <c r="M356" s="171">
        <v>4.0000000000000002E-4</v>
      </c>
      <c r="N356" s="81">
        <f t="shared" si="471"/>
        <v>287.2842634813581</v>
      </c>
      <c r="O356" s="57">
        <f t="shared" si="459"/>
        <v>7469.3908505153095</v>
      </c>
      <c r="P356" s="81">
        <f t="shared" si="460"/>
        <v>14938.781701030619</v>
      </c>
      <c r="Q356" s="81">
        <f t="shared" si="461"/>
        <v>11204.086275772965</v>
      </c>
      <c r="R356" s="81">
        <f t="shared" si="462"/>
        <v>3734.6954252576547</v>
      </c>
      <c r="S356" s="81">
        <f t="shared" si="463"/>
        <v>497.95939003435399</v>
      </c>
      <c r="T356" s="57">
        <f t="shared" si="429"/>
        <v>571.60758382043491</v>
      </c>
      <c r="U356" s="81">
        <f t="shared" si="464"/>
        <v>5602.0431378864823</v>
      </c>
      <c r="V356" s="57">
        <f t="shared" si="465"/>
        <v>1867.3477126288274</v>
      </c>
      <c r="W356" s="101">
        <v>2.5000000000000001E-2</v>
      </c>
      <c r="X356" s="158">
        <f t="shared" si="466"/>
        <v>373.46954252576552</v>
      </c>
      <c r="Y356" s="81">
        <v>917.61060412367431</v>
      </c>
      <c r="Z356" s="81">
        <v>0</v>
      </c>
      <c r="AA356" s="81">
        <f t="shared" si="467"/>
        <v>1867.3477126288274</v>
      </c>
      <c r="AB356" s="81">
        <f t="shared" si="468"/>
        <v>373.46954252576552</v>
      </c>
      <c r="AC356" s="81">
        <v>2379.3255373312672</v>
      </c>
      <c r="AD356" s="81">
        <v>1498.212057572551</v>
      </c>
      <c r="AE356" s="81">
        <v>885.99175492167421</v>
      </c>
      <c r="AF356" s="81">
        <v>0</v>
      </c>
      <c r="AG356" s="81">
        <f t="shared" si="469"/>
        <v>515.38796868555642</v>
      </c>
      <c r="AH356" s="64"/>
      <c r="AI356" s="64"/>
      <c r="AJ356" s="67">
        <v>25</v>
      </c>
      <c r="AK356" s="73" t="s">
        <v>66</v>
      </c>
      <c r="AL356" s="67">
        <v>11172</v>
      </c>
      <c r="AM356" s="72" t="s">
        <v>504</v>
      </c>
      <c r="AN356" s="79" t="s">
        <v>505</v>
      </c>
      <c r="AO356" s="138">
        <f t="shared" si="472"/>
        <v>134449.03530927558</v>
      </c>
      <c r="AP356" s="65">
        <f t="shared" si="473"/>
        <v>44816.345103091859</v>
      </c>
      <c r="AQ356" s="65">
        <f t="shared" si="474"/>
        <v>4481.6345103091862</v>
      </c>
      <c r="AR356" s="65">
        <f t="shared" si="475"/>
        <v>11011.327249484091</v>
      </c>
      <c r="AS356" s="65">
        <f t="shared" si="476"/>
        <v>0</v>
      </c>
      <c r="AT356" s="65">
        <f t="shared" si="477"/>
        <v>22408.172551545929</v>
      </c>
      <c r="AU356" s="65">
        <f t="shared" si="478"/>
        <v>4481.6345103091862</v>
      </c>
      <c r="AV356" s="65">
        <f t="shared" si="479"/>
        <v>28551.906447975205</v>
      </c>
      <c r="AW356" s="65">
        <f t="shared" si="480"/>
        <v>17978.544690870611</v>
      </c>
      <c r="AX356" s="65">
        <f t="shared" si="481"/>
        <v>10631.90105906009</v>
      </c>
      <c r="AY356" s="65">
        <f t="shared" si="482"/>
        <v>0</v>
      </c>
      <c r="AZ356" s="65">
        <f t="shared" si="483"/>
        <v>6184.655624226677</v>
      </c>
      <c r="BB356" s="64"/>
      <c r="BC356" s="66"/>
      <c r="BD356" s="66"/>
      <c r="BE356" s="66"/>
    </row>
    <row r="357" spans="1:177" s="96" customFormat="1" ht="21" customHeight="1" x14ac:dyDescent="0.2">
      <c r="A357" s="50"/>
      <c r="B357" s="455" t="s">
        <v>99</v>
      </c>
      <c r="C357" s="456"/>
      <c r="D357" s="456"/>
      <c r="E357" s="143">
        <v>25</v>
      </c>
      <c r="F357" s="88" t="s">
        <v>100</v>
      </c>
      <c r="G357" s="89"/>
      <c r="H357" s="89"/>
      <c r="I357" s="91">
        <f t="shared" ref="I357:AG357" si="484">SUM(I339:I356)</f>
        <v>101607.23624039421</v>
      </c>
      <c r="J357" s="91">
        <f t="shared" si="484"/>
        <v>5500</v>
      </c>
      <c r="K357" s="91">
        <f t="shared" si="484"/>
        <v>836.10862812336381</v>
      </c>
      <c r="L357" s="91">
        <f t="shared" si="484"/>
        <v>17.92727491821779</v>
      </c>
      <c r="M357" s="91">
        <f t="shared" si="484"/>
        <v>8.5930000000000017E-3</v>
      </c>
      <c r="N357" s="91">
        <f t="shared" si="484"/>
        <v>4714.4359068553713</v>
      </c>
      <c r="O357" s="91">
        <f t="shared" si="484"/>
        <v>106321.67214724957</v>
      </c>
      <c r="P357" s="91">
        <f t="shared" si="484"/>
        <v>212643.34429449914</v>
      </c>
      <c r="Q357" s="91">
        <f t="shared" si="484"/>
        <v>159482.50822087438</v>
      </c>
      <c r="R357" s="91">
        <f t="shared" si="484"/>
        <v>53160.836073624785</v>
      </c>
      <c r="S357" s="91">
        <f t="shared" si="484"/>
        <v>7088.1114764833064</v>
      </c>
      <c r="T357" s="91">
        <f t="shared" si="484"/>
        <v>8136.443163855186</v>
      </c>
      <c r="U357" s="91">
        <f t="shared" si="484"/>
        <v>79741.254110437192</v>
      </c>
      <c r="V357" s="91">
        <f t="shared" si="484"/>
        <v>26580.418036812393</v>
      </c>
      <c r="W357" s="91">
        <f t="shared" si="484"/>
        <v>0.99999999999999978</v>
      </c>
      <c r="X357" s="91">
        <f t="shared" si="484"/>
        <v>11709.559273587316</v>
      </c>
      <c r="Y357" s="91">
        <f t="shared" si="484"/>
        <v>11709.368018161862</v>
      </c>
      <c r="Z357" s="91">
        <f t="shared" si="484"/>
        <v>0</v>
      </c>
      <c r="AA357" s="91">
        <f t="shared" si="484"/>
        <v>26580.418036812393</v>
      </c>
      <c r="AB357" s="91">
        <f t="shared" si="484"/>
        <v>5316.0836073624796</v>
      </c>
      <c r="AC357" s="91">
        <f t="shared" si="484"/>
        <v>35933.168735992236</v>
      </c>
      <c r="AD357" s="91">
        <f t="shared" si="484"/>
        <v>20787.555413499431</v>
      </c>
      <c r="AE357" s="91">
        <f t="shared" si="484"/>
        <v>12611.486673747266</v>
      </c>
      <c r="AF357" s="91">
        <f t="shared" si="484"/>
        <v>0</v>
      </c>
      <c r="AG357" s="91">
        <f t="shared" si="484"/>
        <v>7336.1953781602206</v>
      </c>
      <c r="AH357" s="92"/>
      <c r="AI357" s="92"/>
      <c r="AJ357" s="455" t="s">
        <v>99</v>
      </c>
      <c r="AK357" s="456"/>
      <c r="AL357" s="456"/>
      <c r="AM357" s="143">
        <v>25</v>
      </c>
      <c r="AN357" s="88" t="s">
        <v>100</v>
      </c>
      <c r="AO357" s="144">
        <f>SUM(AO339:AO356)+155345.04</f>
        <v>2052633.3581985184</v>
      </c>
      <c r="AP357" s="144">
        <f>SUM(AP339:AP356)+51781.68</f>
        <v>684211.11939950625</v>
      </c>
      <c r="AQ357" s="144">
        <f>SUM(AQ339:AQ356)+12480.34</f>
        <v>151344.87323785038</v>
      </c>
      <c r="AR357" s="144">
        <f>SUM(AR339:AR356)+1236365</f>
        <v>1375707.9362179423</v>
      </c>
      <c r="AS357" s="144">
        <f>SUM(AS339:AS356)</f>
        <v>0</v>
      </c>
      <c r="AT357" s="144">
        <f>SUM(AT339:AT356)+25890.84</f>
        <v>342105.55969975312</v>
      </c>
      <c r="AU357" s="144">
        <f>SUM(AU339:AU356)+5178.16</f>
        <v>68421.103939950626</v>
      </c>
      <c r="AV357" s="144">
        <f>SUM(AV339:AV356)+33555.08</f>
        <v>460959.66483190685</v>
      </c>
      <c r="AW357" s="144">
        <f>SUM(AW339:AW356)+20380.9</f>
        <v>267624.96496199316</v>
      </c>
      <c r="AX357" s="144">
        <f>SUM(AX339:AX356)+12256.84</f>
        <v>162289.76008496716</v>
      </c>
      <c r="AY357" s="144">
        <f>SUM(AY339:AY356)</f>
        <v>0</v>
      </c>
      <c r="AZ357" s="144">
        <f>SUM(AZ339:AZ356)+7145.87</f>
        <v>94421.132637131857</v>
      </c>
      <c r="BA357" s="94"/>
      <c r="BB357" s="92"/>
      <c r="BC357" s="95"/>
      <c r="BD357" s="95"/>
      <c r="BE357" s="95"/>
      <c r="BF357" s="50"/>
      <c r="BG357" s="50"/>
      <c r="BH357" s="50"/>
      <c r="BI357" s="50"/>
      <c r="BJ357" s="50"/>
      <c r="BK357" s="50"/>
      <c r="BL357" s="50"/>
      <c r="BM357" s="50"/>
      <c r="BN357" s="50"/>
      <c r="BO357" s="50"/>
      <c r="BP357" s="50"/>
      <c r="BQ357" s="50"/>
      <c r="BR357" s="50"/>
      <c r="BS357" s="50"/>
      <c r="BT357" s="50"/>
      <c r="BU357" s="50"/>
      <c r="BV357" s="50"/>
      <c r="BW357" s="50"/>
      <c r="BX357" s="50"/>
      <c r="BY357" s="50"/>
      <c r="BZ357" s="50"/>
      <c r="CA357" s="50"/>
      <c r="CB357" s="50"/>
      <c r="CC357" s="50"/>
      <c r="CD357" s="50"/>
      <c r="CE357" s="50"/>
      <c r="CF357" s="50"/>
      <c r="CG357" s="50"/>
      <c r="CH357" s="50"/>
      <c r="CI357" s="50"/>
      <c r="CJ357" s="50"/>
      <c r="CK357" s="50"/>
      <c r="CL357" s="50"/>
      <c r="CM357" s="50"/>
      <c r="CN357" s="50"/>
      <c r="CO357" s="50"/>
      <c r="CP357" s="50"/>
      <c r="CQ357" s="50"/>
      <c r="CR357" s="50"/>
      <c r="CS357" s="50"/>
      <c r="CT357" s="50"/>
      <c r="CU357" s="50"/>
      <c r="CV357" s="50"/>
      <c r="CW357" s="50"/>
      <c r="CX357" s="50"/>
      <c r="CY357" s="50"/>
      <c r="CZ357" s="50"/>
      <c r="DA357" s="50"/>
      <c r="DB357" s="50"/>
      <c r="DC357" s="50"/>
      <c r="DD357" s="50"/>
      <c r="DE357" s="50"/>
      <c r="DF357" s="50"/>
      <c r="DG357" s="50"/>
      <c r="DH357" s="50"/>
      <c r="DI357" s="50"/>
      <c r="DJ357" s="50"/>
      <c r="DK357" s="50"/>
      <c r="DL357" s="50"/>
      <c r="DM357" s="50"/>
      <c r="DN357" s="50"/>
      <c r="DO357" s="50"/>
      <c r="DP357" s="50"/>
      <c r="DQ357" s="50"/>
      <c r="DR357" s="50"/>
      <c r="DS357" s="50"/>
      <c r="DT357" s="50"/>
      <c r="DU357" s="50"/>
      <c r="DV357" s="50"/>
      <c r="DW357" s="50"/>
      <c r="DX357" s="50"/>
      <c r="DY357" s="50"/>
      <c r="DZ357" s="50"/>
      <c r="EA357" s="50"/>
      <c r="EB357" s="50"/>
      <c r="EC357" s="50"/>
      <c r="ED357" s="50"/>
      <c r="EE357" s="50"/>
      <c r="EF357" s="50"/>
      <c r="EG357" s="50"/>
      <c r="EH357" s="50"/>
      <c r="EI357" s="50"/>
      <c r="EJ357" s="50"/>
      <c r="EK357" s="50"/>
      <c r="EL357" s="50"/>
      <c r="EM357" s="50"/>
      <c r="EN357" s="50"/>
      <c r="EO357" s="50"/>
      <c r="EP357" s="50"/>
      <c r="EQ357" s="50"/>
      <c r="ER357" s="50"/>
      <c r="ES357" s="50"/>
      <c r="ET357" s="50"/>
      <c r="EU357" s="50"/>
      <c r="EV357" s="50"/>
      <c r="EW357" s="50"/>
      <c r="EX357" s="50"/>
      <c r="EY357" s="50"/>
      <c r="EZ357" s="50"/>
      <c r="FA357" s="50"/>
      <c r="FB357" s="50"/>
      <c r="FC357" s="50"/>
      <c r="FD357" s="50"/>
      <c r="FE357" s="50"/>
      <c r="FF357" s="50"/>
      <c r="FG357" s="50"/>
      <c r="FH357" s="50"/>
      <c r="FI357" s="50"/>
      <c r="FJ357" s="50"/>
      <c r="FK357" s="50"/>
      <c r="FL357" s="50"/>
      <c r="FM357" s="50"/>
      <c r="FN357" s="50"/>
      <c r="FO357" s="50"/>
      <c r="FP357" s="50"/>
      <c r="FQ357" s="50"/>
      <c r="FR357" s="50"/>
      <c r="FS357" s="50"/>
      <c r="FT357" s="50"/>
      <c r="FU357" s="50"/>
    </row>
    <row r="358" spans="1:177" ht="21" customHeight="1" x14ac:dyDescent="0.2">
      <c r="B358" s="457" t="s">
        <v>101</v>
      </c>
      <c r="C358" s="458"/>
      <c r="D358" s="458"/>
      <c r="E358" s="76">
        <v>25</v>
      </c>
      <c r="F358" s="241" t="s">
        <v>506</v>
      </c>
      <c r="G358" s="147"/>
      <c r="H358" s="147"/>
      <c r="I358" s="57">
        <f t="shared" ref="I358:AG358" si="485">I338+I357</f>
        <v>167875.20424215047</v>
      </c>
      <c r="J358" s="57">
        <f t="shared" si="485"/>
        <v>5500</v>
      </c>
      <c r="K358" s="57">
        <f t="shared" si="485"/>
        <v>836.10862812336381</v>
      </c>
      <c r="L358" s="74">
        <f t="shared" si="485"/>
        <v>17.92727491821779</v>
      </c>
      <c r="M358" s="57">
        <f t="shared" si="485"/>
        <v>1.0993000000000003E-2</v>
      </c>
      <c r="N358" s="57">
        <f t="shared" si="485"/>
        <v>7365.1546269256223</v>
      </c>
      <c r="O358" s="57">
        <f t="shared" si="485"/>
        <v>175240.3588690761</v>
      </c>
      <c r="P358" s="57">
        <f t="shared" si="485"/>
        <v>350480.71773815219</v>
      </c>
      <c r="Q358" s="57">
        <f t="shared" si="485"/>
        <v>262860.53830361419</v>
      </c>
      <c r="R358" s="57">
        <f t="shared" si="485"/>
        <v>87620.179434538048</v>
      </c>
      <c r="S358" s="57">
        <f t="shared" si="485"/>
        <v>11682.690591271741</v>
      </c>
      <c r="T358" s="57">
        <f t="shared" si="485"/>
        <v>13410.560529720831</v>
      </c>
      <c r="U358" s="81">
        <f t="shared" si="485"/>
        <v>131430.26915180709</v>
      </c>
      <c r="V358" s="57">
        <f t="shared" si="485"/>
        <v>43810.089717269024</v>
      </c>
      <c r="W358" s="57">
        <f t="shared" si="485"/>
        <v>0.99999999999999978</v>
      </c>
      <c r="X358" s="57">
        <f t="shared" si="485"/>
        <v>11709.559273587316</v>
      </c>
      <c r="Y358" s="57">
        <f t="shared" si="485"/>
        <v>24138.124263478625</v>
      </c>
      <c r="Z358" s="57">
        <f t="shared" si="485"/>
        <v>0</v>
      </c>
      <c r="AA358" s="57">
        <f t="shared" si="485"/>
        <v>43810.089717269024</v>
      </c>
      <c r="AB358" s="57">
        <f t="shared" si="485"/>
        <v>8762.0179434538077</v>
      </c>
      <c r="AC358" s="57">
        <f t="shared" si="485"/>
        <v>56117.178004592177</v>
      </c>
      <c r="AD358" s="57">
        <f t="shared" si="485"/>
        <v>34611.280735301581</v>
      </c>
      <c r="AE358" s="57">
        <f t="shared" si="485"/>
        <v>20786.368590839014</v>
      </c>
      <c r="AF358" s="57">
        <f t="shared" si="485"/>
        <v>0</v>
      </c>
      <c r="AG358" s="57">
        <f t="shared" si="485"/>
        <v>12091.584761966251</v>
      </c>
      <c r="AH358" s="92">
        <f>Q358+R358-Y358+Z358+X358+AA358+AB358+AC358+AD358+AE358+AF358+AG358</f>
        <v>514230.67250168283</v>
      </c>
      <c r="AI358" s="92">
        <f>AH358*12</f>
        <v>6170768.0700201942</v>
      </c>
      <c r="AJ358" s="457" t="s">
        <v>101</v>
      </c>
      <c r="AK358" s="458"/>
      <c r="AL358" s="458"/>
      <c r="AM358" s="76">
        <v>25</v>
      </c>
      <c r="AN358" s="241" t="s">
        <v>506</v>
      </c>
      <c r="AO358" s="242">
        <f t="shared" ref="AO358:AZ358" si="486">AO338+AO357</f>
        <v>3403419.7291913959</v>
      </c>
      <c r="AP358" s="242">
        <f t="shared" si="486"/>
        <v>1134473.2397304655</v>
      </c>
      <c r="AQ358" s="242">
        <f t="shared" si="486"/>
        <v>151344.87323785038</v>
      </c>
      <c r="AR358" s="242">
        <f t="shared" si="486"/>
        <v>1534617.6211617435</v>
      </c>
      <c r="AS358" s="242">
        <f t="shared" si="486"/>
        <v>0</v>
      </c>
      <c r="AT358" s="242">
        <f t="shared" si="486"/>
        <v>567236.61986523273</v>
      </c>
      <c r="AU358" s="242">
        <f t="shared" si="486"/>
        <v>113447.31597304656</v>
      </c>
      <c r="AV358" s="242">
        <f t="shared" si="486"/>
        <v>726119.97605510615</v>
      </c>
      <c r="AW358" s="242">
        <f t="shared" si="486"/>
        <v>448252.31882361893</v>
      </c>
      <c r="AX358" s="242">
        <f t="shared" si="486"/>
        <v>269106.64309006813</v>
      </c>
      <c r="AY358" s="242">
        <f t="shared" si="486"/>
        <v>0</v>
      </c>
      <c r="AZ358" s="242">
        <f t="shared" si="486"/>
        <v>156557.30524280423</v>
      </c>
      <c r="BA358" s="94"/>
      <c r="BB358" s="92">
        <f>AO358+AP358+AQ358-AR358+AS358+AU358+AV358+AT358+AW358+AX358+AY358+AZ358</f>
        <v>5435340.4000478452</v>
      </c>
      <c r="BC358" s="95"/>
      <c r="BD358" s="95"/>
      <c r="BE358" s="95"/>
    </row>
    <row r="359" spans="1:177" ht="21" customHeight="1" x14ac:dyDescent="0.2">
      <c r="B359" s="457" t="s">
        <v>103</v>
      </c>
      <c r="C359" s="458"/>
      <c r="D359" s="458"/>
      <c r="E359" s="76">
        <f>E357-E358</f>
        <v>0</v>
      </c>
      <c r="F359" s="76"/>
      <c r="G359" s="497"/>
      <c r="H359" s="498"/>
      <c r="I359" s="498"/>
      <c r="J359" s="498"/>
      <c r="K359" s="498"/>
      <c r="L359" s="498"/>
      <c r="M359" s="498"/>
      <c r="N359" s="498"/>
      <c r="O359" s="498"/>
      <c r="P359" s="498"/>
      <c r="Q359" s="498"/>
      <c r="R359" s="498"/>
      <c r="S359" s="498"/>
      <c r="T359" s="498"/>
      <c r="U359" s="498"/>
      <c r="V359" s="498"/>
      <c r="W359" s="498"/>
      <c r="X359" s="498"/>
      <c r="Y359" s="498"/>
      <c r="Z359" s="498"/>
      <c r="AA359" s="498"/>
      <c r="AB359" s="498"/>
      <c r="AC359" s="498"/>
      <c r="AD359" s="498"/>
      <c r="AE359" s="498"/>
      <c r="AF359" s="498"/>
      <c r="AG359" s="499"/>
      <c r="AH359" s="92"/>
      <c r="AI359" s="92"/>
      <c r="AJ359" s="457" t="s">
        <v>103</v>
      </c>
      <c r="AK359" s="458"/>
      <c r="AL359" s="458"/>
      <c r="AM359" s="76">
        <f>AM357-AM358</f>
        <v>0</v>
      </c>
      <c r="AN359" s="76"/>
      <c r="AO359" s="481"/>
      <c r="AP359" s="482"/>
      <c r="AQ359" s="482"/>
      <c r="AR359" s="482"/>
      <c r="AS359" s="482"/>
      <c r="AT359" s="482"/>
      <c r="AU359" s="482"/>
      <c r="AV359" s="482"/>
      <c r="AW359" s="482"/>
      <c r="AX359" s="482"/>
      <c r="AY359" s="482"/>
      <c r="AZ359" s="483"/>
      <c r="BA359" s="152"/>
      <c r="BB359" s="92"/>
      <c r="BC359" s="95"/>
      <c r="BD359" s="95"/>
      <c r="BE359" s="95"/>
    </row>
    <row r="360" spans="1:177" ht="21" customHeight="1" x14ac:dyDescent="0.2">
      <c r="B360" s="5"/>
      <c r="C360" s="94"/>
      <c r="D360" s="5"/>
      <c r="E360" s="94"/>
      <c r="G360" s="27"/>
      <c r="H360" s="27"/>
      <c r="I360" s="95"/>
      <c r="J360" s="95"/>
      <c r="K360" s="95"/>
      <c r="L360" s="27"/>
      <c r="M360" s="128"/>
      <c r="N360" s="66"/>
      <c r="O360" s="95"/>
      <c r="P360" s="66"/>
      <c r="Q360" s="66"/>
      <c r="R360" s="66"/>
      <c r="S360" s="66"/>
      <c r="T360" s="95"/>
      <c r="U360" s="66"/>
      <c r="V360" s="95"/>
      <c r="W360" s="129"/>
      <c r="X360" s="130"/>
      <c r="Y360" s="66"/>
      <c r="Z360" s="66"/>
      <c r="AA360" s="66"/>
      <c r="AB360" s="66"/>
      <c r="AC360" s="66"/>
      <c r="AD360" s="66"/>
      <c r="AE360" s="66"/>
      <c r="AF360" s="66"/>
      <c r="AG360" s="66"/>
      <c r="AH360" s="64"/>
      <c r="AI360" s="64"/>
      <c r="AJ360" s="5"/>
      <c r="AK360" s="94"/>
      <c r="AL360" s="5"/>
      <c r="AM360" s="94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2"/>
      <c r="BB360" s="92"/>
      <c r="BC360" s="95"/>
      <c r="BD360" s="95"/>
      <c r="BE360" s="95"/>
    </row>
    <row r="361" spans="1:177" ht="21" customHeight="1" x14ac:dyDescent="0.2">
      <c r="B361" s="5"/>
      <c r="C361" s="94"/>
      <c r="D361" s="5"/>
      <c r="E361" s="127"/>
      <c r="G361" s="27"/>
      <c r="H361" s="27"/>
      <c r="I361" s="95"/>
      <c r="J361" s="95"/>
      <c r="K361" s="95"/>
      <c r="L361" s="27"/>
      <c r="M361" s="128"/>
      <c r="N361" s="66"/>
      <c r="O361" s="95"/>
      <c r="P361" s="66"/>
      <c r="Q361" s="66"/>
      <c r="R361" s="66"/>
      <c r="S361" s="66"/>
      <c r="T361" s="95"/>
      <c r="U361" s="66"/>
      <c r="V361" s="95"/>
      <c r="W361" s="129"/>
      <c r="X361" s="130"/>
      <c r="Y361" s="66"/>
      <c r="Z361" s="66"/>
      <c r="AA361" s="66"/>
      <c r="AB361" s="66"/>
      <c r="AC361" s="66"/>
      <c r="AD361" s="66"/>
      <c r="AE361" s="66"/>
      <c r="AF361" s="66"/>
      <c r="AG361" s="66"/>
      <c r="AH361" s="64"/>
      <c r="AI361" s="64"/>
      <c r="AJ361" s="5"/>
      <c r="AK361" s="94"/>
      <c r="AL361" s="5"/>
      <c r="AM361" s="127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2"/>
      <c r="BB361" s="92"/>
      <c r="BC361" s="95"/>
      <c r="BD361" s="95"/>
      <c r="BE361" s="95"/>
    </row>
    <row r="362" spans="1:177" ht="21" customHeight="1" thickBot="1" x14ac:dyDescent="0.25">
      <c r="B362" s="5"/>
      <c r="C362" s="94"/>
      <c r="D362" s="5"/>
      <c r="E362" s="94"/>
      <c r="G362" s="27"/>
      <c r="H362" s="27"/>
      <c r="I362" s="95"/>
      <c r="J362" s="95"/>
      <c r="K362" s="95"/>
      <c r="L362" s="27"/>
      <c r="M362" s="128"/>
      <c r="N362" s="66"/>
      <c r="O362" s="95"/>
      <c r="P362" s="66"/>
      <c r="Q362" s="66"/>
      <c r="R362" s="66"/>
      <c r="S362" s="66"/>
      <c r="T362" s="95"/>
      <c r="U362" s="66"/>
      <c r="V362" s="95"/>
      <c r="W362" s="129"/>
      <c r="X362" s="130"/>
      <c r="Y362" s="66"/>
      <c r="Z362" s="66"/>
      <c r="AA362" s="66"/>
      <c r="AB362" s="66"/>
      <c r="AC362" s="66"/>
      <c r="AD362" s="66"/>
      <c r="AE362" s="66"/>
      <c r="AF362" s="66"/>
      <c r="AG362" s="66"/>
      <c r="AH362" s="64"/>
      <c r="AI362" s="64"/>
      <c r="AJ362" s="5"/>
      <c r="AK362" s="94"/>
      <c r="AL362" s="5"/>
      <c r="AM362" s="94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2"/>
      <c r="BB362" s="92"/>
      <c r="BC362" s="95"/>
      <c r="BD362" s="95"/>
      <c r="BE362" s="95"/>
    </row>
    <row r="363" spans="1:177" s="134" customFormat="1" ht="21" customHeight="1" thickBot="1" x14ac:dyDescent="0.25">
      <c r="A363" s="94"/>
      <c r="B363" s="476" t="s">
        <v>507</v>
      </c>
      <c r="C363" s="477"/>
      <c r="D363" s="477"/>
      <c r="E363" s="478"/>
      <c r="F363" s="466" t="s">
        <v>4</v>
      </c>
      <c r="G363" s="7" t="s">
        <v>5</v>
      </c>
      <c r="H363" s="8" t="s">
        <v>6</v>
      </c>
      <c r="I363" s="9" t="s">
        <v>7</v>
      </c>
      <c r="J363" s="9"/>
      <c r="K363" s="9"/>
      <c r="L363" s="9"/>
      <c r="M363" s="10">
        <v>4.0000000000000002E-4</v>
      </c>
      <c r="N363" s="11" t="s">
        <v>8</v>
      </c>
      <c r="O363" s="12" t="s">
        <v>9</v>
      </c>
      <c r="P363" s="12" t="s">
        <v>10</v>
      </c>
      <c r="Q363" s="13" t="s">
        <v>11</v>
      </c>
      <c r="R363" s="12" t="s">
        <v>12</v>
      </c>
      <c r="S363" s="14" t="s">
        <v>11</v>
      </c>
      <c r="T363" s="15" t="s">
        <v>13</v>
      </c>
      <c r="U363" s="16" t="s">
        <v>11</v>
      </c>
      <c r="V363" s="17" t="s">
        <v>12</v>
      </c>
      <c r="W363" s="18" t="s">
        <v>14</v>
      </c>
      <c r="X363" s="19" t="s">
        <v>15</v>
      </c>
      <c r="Y363" s="15" t="s">
        <v>16</v>
      </c>
      <c r="Z363" s="13" t="s">
        <v>17</v>
      </c>
      <c r="AA363" s="20" t="s">
        <v>18</v>
      </c>
      <c r="AB363" s="17" t="s">
        <v>19</v>
      </c>
      <c r="AC363" s="13" t="s">
        <v>20</v>
      </c>
      <c r="AD363" s="13" t="s">
        <v>21</v>
      </c>
      <c r="AE363" s="13" t="s">
        <v>22</v>
      </c>
      <c r="AF363" s="17" t="s">
        <v>23</v>
      </c>
      <c r="AG363" s="12" t="s">
        <v>24</v>
      </c>
      <c r="AH363" s="132"/>
      <c r="AI363" s="132"/>
      <c r="AJ363" s="476" t="s">
        <v>507</v>
      </c>
      <c r="AK363" s="477"/>
      <c r="AL363" s="477"/>
      <c r="AM363" s="478"/>
      <c r="AN363" s="466" t="s">
        <v>4</v>
      </c>
      <c r="AO363" s="133" t="s">
        <v>11</v>
      </c>
      <c r="AP363" s="12" t="s">
        <v>12</v>
      </c>
      <c r="AQ363" s="23" t="s">
        <v>15</v>
      </c>
      <c r="AR363" s="22" t="s">
        <v>16</v>
      </c>
      <c r="AS363" s="22" t="s">
        <v>25</v>
      </c>
      <c r="AT363" s="20" t="s">
        <v>26</v>
      </c>
      <c r="AU363" s="24" t="s">
        <v>27</v>
      </c>
      <c r="AV363" s="23" t="s">
        <v>20</v>
      </c>
      <c r="AW363" s="22" t="s">
        <v>28</v>
      </c>
      <c r="AX363" s="22" t="s">
        <v>29</v>
      </c>
      <c r="AY363" s="25" t="s">
        <v>23</v>
      </c>
      <c r="AZ363" s="24" t="s">
        <v>24</v>
      </c>
      <c r="BA363" s="94"/>
      <c r="BB363" s="92"/>
      <c r="BC363" s="95"/>
      <c r="BD363" s="95"/>
      <c r="BE363" s="95"/>
      <c r="BF363" s="94"/>
      <c r="BG363" s="94"/>
      <c r="BH363" s="94"/>
      <c r="BI363" s="94"/>
      <c r="BJ363" s="94"/>
      <c r="BK363" s="94"/>
      <c r="BL363" s="94"/>
      <c r="BM363" s="94"/>
      <c r="BN363" s="94"/>
      <c r="BO363" s="94"/>
      <c r="BP363" s="94"/>
      <c r="BQ363" s="94"/>
      <c r="BR363" s="94"/>
      <c r="BS363" s="94"/>
      <c r="BT363" s="94"/>
      <c r="BU363" s="94"/>
      <c r="BV363" s="94"/>
      <c r="BW363" s="94"/>
      <c r="BX363" s="94"/>
      <c r="BY363" s="94"/>
      <c r="BZ363" s="94"/>
      <c r="CA363" s="94"/>
      <c r="CB363" s="94"/>
      <c r="CC363" s="94"/>
      <c r="CD363" s="94"/>
      <c r="CE363" s="94"/>
      <c r="CF363" s="94"/>
      <c r="CG363" s="94"/>
      <c r="CH363" s="94"/>
      <c r="CI363" s="94"/>
      <c r="CJ363" s="94"/>
      <c r="CK363" s="94"/>
      <c r="CL363" s="94"/>
      <c r="CM363" s="94"/>
      <c r="CN363" s="94"/>
      <c r="CO363" s="94"/>
      <c r="CP363" s="94"/>
      <c r="CQ363" s="94"/>
      <c r="CR363" s="94"/>
      <c r="CS363" s="94"/>
      <c r="CT363" s="94"/>
      <c r="CU363" s="94"/>
      <c r="CV363" s="94"/>
      <c r="CW363" s="94"/>
      <c r="CX363" s="94"/>
      <c r="CY363" s="94"/>
      <c r="CZ363" s="94"/>
      <c r="DA363" s="94"/>
      <c r="DB363" s="94"/>
      <c r="DC363" s="94"/>
      <c r="DD363" s="94"/>
      <c r="DE363" s="94"/>
      <c r="DF363" s="94"/>
      <c r="DG363" s="94"/>
      <c r="DH363" s="94"/>
      <c r="DI363" s="94"/>
      <c r="DJ363" s="94"/>
      <c r="DK363" s="94"/>
      <c r="DL363" s="94"/>
      <c r="DM363" s="94"/>
      <c r="DN363" s="94"/>
      <c r="DO363" s="94"/>
      <c r="DP363" s="94"/>
      <c r="DQ363" s="94"/>
      <c r="DR363" s="94"/>
      <c r="DS363" s="94"/>
      <c r="DT363" s="94"/>
      <c r="DU363" s="94"/>
      <c r="DV363" s="94"/>
      <c r="DW363" s="94"/>
      <c r="DX363" s="94"/>
      <c r="DY363" s="94"/>
      <c r="DZ363" s="94"/>
      <c r="EA363" s="94"/>
      <c r="EB363" s="94"/>
      <c r="EC363" s="94"/>
      <c r="ED363" s="94"/>
      <c r="EE363" s="94"/>
      <c r="EF363" s="94"/>
      <c r="EG363" s="94"/>
      <c r="EH363" s="94"/>
      <c r="EI363" s="94"/>
      <c r="EJ363" s="94"/>
      <c r="EK363" s="94"/>
      <c r="EL363" s="94"/>
      <c r="EM363" s="94"/>
      <c r="EN363" s="94"/>
      <c r="EO363" s="94"/>
      <c r="EP363" s="94"/>
      <c r="EQ363" s="94"/>
      <c r="ER363" s="94"/>
      <c r="ES363" s="94"/>
      <c r="ET363" s="94"/>
      <c r="EU363" s="94"/>
      <c r="EV363" s="94"/>
      <c r="EW363" s="94"/>
      <c r="EX363" s="94"/>
      <c r="EY363" s="94"/>
      <c r="EZ363" s="94"/>
      <c r="FA363" s="94"/>
      <c r="FB363" s="94"/>
      <c r="FC363" s="94"/>
      <c r="FD363" s="94"/>
      <c r="FE363" s="94"/>
      <c r="FF363" s="94"/>
      <c r="FG363" s="94"/>
      <c r="FH363" s="94"/>
      <c r="FI363" s="94"/>
      <c r="FJ363" s="94"/>
      <c r="FK363" s="94"/>
      <c r="FL363" s="94"/>
      <c r="FM363" s="94"/>
      <c r="FN363" s="94"/>
      <c r="FO363" s="94"/>
      <c r="FP363" s="94"/>
      <c r="FQ363" s="94"/>
      <c r="FR363" s="94"/>
      <c r="FS363" s="94"/>
      <c r="FT363" s="94"/>
      <c r="FU363" s="94"/>
    </row>
    <row r="364" spans="1:177" s="134" customFormat="1" ht="21" customHeight="1" thickBot="1" x14ac:dyDescent="0.25">
      <c r="A364" s="94"/>
      <c r="B364" s="30" t="s">
        <v>30</v>
      </c>
      <c r="C364" s="6" t="s">
        <v>31</v>
      </c>
      <c r="D364" s="30" t="s">
        <v>105</v>
      </c>
      <c r="E364" s="32" t="s">
        <v>32</v>
      </c>
      <c r="F364" s="467"/>
      <c r="G364" s="33" t="s">
        <v>33</v>
      </c>
      <c r="H364" s="34">
        <v>45657</v>
      </c>
      <c r="I364" s="35">
        <v>2023</v>
      </c>
      <c r="J364" s="35"/>
      <c r="K364" s="35"/>
      <c r="L364" s="35"/>
      <c r="M364" s="36"/>
      <c r="N364" s="37"/>
      <c r="O364" s="38">
        <v>2024</v>
      </c>
      <c r="P364" s="39" t="s">
        <v>34</v>
      </c>
      <c r="Q364" s="40" t="s">
        <v>35</v>
      </c>
      <c r="R364" s="39" t="s">
        <v>36</v>
      </c>
      <c r="S364" s="41" t="s">
        <v>37</v>
      </c>
      <c r="T364" s="42" t="s">
        <v>38</v>
      </c>
      <c r="U364" s="43" t="s">
        <v>39</v>
      </c>
      <c r="V364" s="41" t="s">
        <v>39</v>
      </c>
      <c r="W364" s="44" t="s">
        <v>15</v>
      </c>
      <c r="X364" s="45" t="s">
        <v>35</v>
      </c>
      <c r="Y364" s="42" t="s">
        <v>35</v>
      </c>
      <c r="Z364" s="40" t="s">
        <v>35</v>
      </c>
      <c r="AA364" s="46" t="s">
        <v>35</v>
      </c>
      <c r="AB364" s="41" t="s">
        <v>35</v>
      </c>
      <c r="AC364" s="40" t="s">
        <v>35</v>
      </c>
      <c r="AD364" s="40" t="s">
        <v>35</v>
      </c>
      <c r="AE364" s="40" t="s">
        <v>35</v>
      </c>
      <c r="AF364" s="41" t="s">
        <v>35</v>
      </c>
      <c r="AG364" s="40" t="s">
        <v>35</v>
      </c>
      <c r="AH364" s="135"/>
      <c r="AI364" s="135"/>
      <c r="AJ364" s="30" t="s">
        <v>30</v>
      </c>
      <c r="AK364" s="6" t="s">
        <v>31</v>
      </c>
      <c r="AL364" s="30" t="s">
        <v>105</v>
      </c>
      <c r="AM364" s="32" t="s">
        <v>32</v>
      </c>
      <c r="AN364" s="467"/>
      <c r="AO364" s="46" t="s">
        <v>40</v>
      </c>
      <c r="AP364" s="39" t="s">
        <v>41</v>
      </c>
      <c r="AQ364" s="48" t="s">
        <v>40</v>
      </c>
      <c r="AR364" s="49" t="s">
        <v>40</v>
      </c>
      <c r="AS364" s="49" t="s">
        <v>40</v>
      </c>
      <c r="AT364" s="46" t="s">
        <v>40</v>
      </c>
      <c r="AU364" s="49" t="s">
        <v>40</v>
      </c>
      <c r="AV364" s="48" t="s">
        <v>40</v>
      </c>
      <c r="AW364" s="49" t="s">
        <v>40</v>
      </c>
      <c r="AX364" s="49" t="s">
        <v>40</v>
      </c>
      <c r="AY364" s="48" t="s">
        <v>40</v>
      </c>
      <c r="AZ364" s="49" t="s">
        <v>40</v>
      </c>
      <c r="BA364" s="94"/>
      <c r="BB364" s="92"/>
      <c r="BC364" s="95"/>
      <c r="BD364" s="95"/>
      <c r="BE364" s="95"/>
      <c r="BF364" s="94"/>
      <c r="BG364" s="94"/>
      <c r="BH364" s="94"/>
      <c r="BI364" s="94"/>
      <c r="BJ364" s="94"/>
      <c r="BK364" s="94"/>
      <c r="BL364" s="94"/>
      <c r="BM364" s="94"/>
      <c r="BN364" s="94"/>
      <c r="BO364" s="94"/>
      <c r="BP364" s="94"/>
      <c r="BQ364" s="94"/>
      <c r="BR364" s="94"/>
      <c r="BS364" s="94"/>
      <c r="BT364" s="94"/>
      <c r="BU364" s="94"/>
      <c r="BV364" s="94"/>
      <c r="BW364" s="94"/>
      <c r="BX364" s="94"/>
      <c r="BY364" s="94"/>
      <c r="BZ364" s="94"/>
      <c r="CA364" s="94"/>
      <c r="CB364" s="94"/>
      <c r="CC364" s="94"/>
      <c r="CD364" s="94"/>
      <c r="CE364" s="94"/>
      <c r="CF364" s="94"/>
      <c r="CG364" s="94"/>
      <c r="CH364" s="94"/>
      <c r="CI364" s="94"/>
      <c r="CJ364" s="94"/>
      <c r="CK364" s="94"/>
      <c r="CL364" s="94"/>
      <c r="CM364" s="94"/>
      <c r="CN364" s="94"/>
      <c r="CO364" s="94"/>
      <c r="CP364" s="94"/>
      <c r="CQ364" s="94"/>
      <c r="CR364" s="94"/>
      <c r="CS364" s="94"/>
      <c r="CT364" s="94"/>
      <c r="CU364" s="94"/>
      <c r="CV364" s="94"/>
      <c r="CW364" s="94"/>
      <c r="CX364" s="94"/>
      <c r="CY364" s="94"/>
      <c r="CZ364" s="94"/>
      <c r="DA364" s="94"/>
      <c r="DB364" s="94"/>
      <c r="DC364" s="94"/>
      <c r="DD364" s="94"/>
      <c r="DE364" s="94"/>
      <c r="DF364" s="94"/>
      <c r="DG364" s="94"/>
      <c r="DH364" s="94"/>
      <c r="DI364" s="94"/>
      <c r="DJ364" s="94"/>
      <c r="DK364" s="94"/>
      <c r="DL364" s="94"/>
      <c r="DM364" s="94"/>
      <c r="DN364" s="94"/>
      <c r="DO364" s="94"/>
      <c r="DP364" s="94"/>
      <c r="DQ364" s="94"/>
      <c r="DR364" s="94"/>
      <c r="DS364" s="94"/>
      <c r="DT364" s="94"/>
      <c r="DU364" s="94"/>
      <c r="DV364" s="94"/>
      <c r="DW364" s="94"/>
      <c r="DX364" s="94"/>
      <c r="DY364" s="94"/>
      <c r="DZ364" s="94"/>
      <c r="EA364" s="94"/>
      <c r="EB364" s="94"/>
      <c r="EC364" s="94"/>
      <c r="ED364" s="94"/>
      <c r="EE364" s="94"/>
      <c r="EF364" s="94"/>
      <c r="EG364" s="94"/>
      <c r="EH364" s="94"/>
      <c r="EI364" s="94"/>
      <c r="EJ364" s="94"/>
      <c r="EK364" s="94"/>
      <c r="EL364" s="94"/>
      <c r="EM364" s="94"/>
      <c r="EN364" s="94"/>
      <c r="EO364" s="94"/>
      <c r="EP364" s="94"/>
      <c r="EQ364" s="94"/>
      <c r="ER364" s="94"/>
      <c r="ES364" s="94"/>
      <c r="ET364" s="94"/>
      <c r="EU364" s="94"/>
      <c r="EV364" s="94"/>
      <c r="EW364" s="94"/>
      <c r="EX364" s="94"/>
      <c r="EY364" s="94"/>
      <c r="EZ364" s="94"/>
      <c r="FA364" s="94"/>
      <c r="FB364" s="94"/>
      <c r="FC364" s="94"/>
      <c r="FD364" s="94"/>
      <c r="FE364" s="94"/>
      <c r="FF364" s="94"/>
      <c r="FG364" s="94"/>
      <c r="FH364" s="94"/>
      <c r="FI364" s="94"/>
      <c r="FJ364" s="94"/>
      <c r="FK364" s="94"/>
      <c r="FL364" s="94"/>
      <c r="FM364" s="94"/>
      <c r="FN364" s="94"/>
      <c r="FO364" s="94"/>
      <c r="FP364" s="94"/>
      <c r="FQ364" s="94"/>
      <c r="FR364" s="94"/>
      <c r="FS364" s="94"/>
      <c r="FT364" s="94"/>
      <c r="FU364" s="94"/>
    </row>
    <row r="365" spans="1:177" ht="21" customHeight="1" x14ac:dyDescent="0.2">
      <c r="B365" s="51">
        <v>1</v>
      </c>
      <c r="C365" s="77" t="s">
        <v>42</v>
      </c>
      <c r="D365" s="51">
        <v>7021</v>
      </c>
      <c r="E365" s="243" t="s">
        <v>508</v>
      </c>
      <c r="F365" s="54" t="s">
        <v>509</v>
      </c>
      <c r="G365" s="123">
        <v>40106</v>
      </c>
      <c r="H365" s="56" t="str">
        <f t="shared" ref="H365:H370" si="487" xml:space="preserve"> CONCATENATE(DATEDIF(G365,H$5,"Y")," AÑOS")</f>
        <v>15 AÑOS</v>
      </c>
      <c r="I365" s="75">
        <v>7852.7135934508487</v>
      </c>
      <c r="J365" s="75"/>
      <c r="K365" s="75"/>
      <c r="L365" s="137"/>
      <c r="M365" s="60">
        <v>4.0000000000000002E-4</v>
      </c>
      <c r="N365" s="61">
        <f t="shared" ref="N365:N370" si="488">I365*0.04</f>
        <v>314.10854373803397</v>
      </c>
      <c r="O365" s="58">
        <f t="shared" ref="O365:O370" si="489">I365+N365</f>
        <v>8166.8221371888831</v>
      </c>
      <c r="P365" s="61">
        <f t="shared" ref="P365:P370" si="490">O365*2</f>
        <v>16333.644274377766</v>
      </c>
      <c r="Q365" s="61">
        <f t="shared" ref="Q365:Q370" si="491">P365*0.75</f>
        <v>12250.233205783325</v>
      </c>
      <c r="R365" s="61">
        <f t="shared" ref="R365:R370" si="492">P365*0.25</f>
        <v>4083.4110685944415</v>
      </c>
      <c r="S365" s="61">
        <f t="shared" ref="S365:S370" si="493">(P365/30)</f>
        <v>544.45480914592554</v>
      </c>
      <c r="T365" s="58">
        <f t="shared" si="429"/>
        <v>624.97967541860783</v>
      </c>
      <c r="U365" s="61">
        <f t="shared" ref="U365:U370" si="494">O365*0.75</f>
        <v>6125.1166028916623</v>
      </c>
      <c r="V365" s="58">
        <f t="shared" ref="V365:V370" si="495">O365*0.25</f>
        <v>2041.7055342972208</v>
      </c>
      <c r="W365" s="62">
        <v>0</v>
      </c>
      <c r="X365" s="63">
        <f t="shared" ref="X365:X370" si="496">P365*W365</f>
        <v>0</v>
      </c>
      <c r="Y365" s="61">
        <v>1084.9941129253318</v>
      </c>
      <c r="Z365" s="61">
        <v>0</v>
      </c>
      <c r="AA365" s="61">
        <f t="shared" ref="AA365:AA370" si="497">(S365*45)/12</f>
        <v>2041.7055342972208</v>
      </c>
      <c r="AB365" s="61">
        <f t="shared" ref="AB365:AB370" si="498">(S365*10)*(0.45*2)/12</f>
        <v>408.34110685944415</v>
      </c>
      <c r="AC365" s="61">
        <v>2550.2825005223763</v>
      </c>
      <c r="AD365" s="61">
        <v>1638.1029782559422</v>
      </c>
      <c r="AE365" s="61">
        <v>968.7184968988422</v>
      </c>
      <c r="AF365" s="61">
        <v>0</v>
      </c>
      <c r="AG365" s="61">
        <f t="shared" ref="AG365:AG370" si="499">(P365+AA365+AB365)*0.03</f>
        <v>563.5107274660329</v>
      </c>
      <c r="AH365" s="64"/>
      <c r="AI365" s="64"/>
      <c r="AJ365" s="51">
        <v>1</v>
      </c>
      <c r="AK365" s="77" t="s">
        <v>42</v>
      </c>
      <c r="AL365" s="51">
        <v>7021</v>
      </c>
      <c r="AM365" s="243" t="s">
        <v>508</v>
      </c>
      <c r="AN365" s="54" t="s">
        <v>509</v>
      </c>
      <c r="AO365" s="138">
        <f>Q365*12</f>
        <v>147002.79846939989</v>
      </c>
      <c r="AP365" s="65">
        <f>R365*12</f>
        <v>49000.932823133298</v>
      </c>
      <c r="AQ365" s="65">
        <f t="shared" ref="AQ365:AZ366" si="500">X365*12</f>
        <v>0</v>
      </c>
      <c r="AR365" s="65">
        <f t="shared" si="500"/>
        <v>13019.929355103981</v>
      </c>
      <c r="AS365" s="65">
        <f t="shared" si="500"/>
        <v>0</v>
      </c>
      <c r="AT365" s="65">
        <f t="shared" si="500"/>
        <v>24500.466411566649</v>
      </c>
      <c r="AU365" s="65">
        <f t="shared" si="500"/>
        <v>4900.0932823133298</v>
      </c>
      <c r="AV365" s="65">
        <f t="shared" si="500"/>
        <v>30603.390006268513</v>
      </c>
      <c r="AW365" s="65">
        <f t="shared" si="500"/>
        <v>19657.235739071308</v>
      </c>
      <c r="AX365" s="65">
        <f t="shared" si="500"/>
        <v>11624.621962786106</v>
      </c>
      <c r="AY365" s="65">
        <f t="shared" si="500"/>
        <v>0</v>
      </c>
      <c r="AZ365" s="65">
        <f t="shared" si="500"/>
        <v>6762.1287295923948</v>
      </c>
      <c r="BB365" s="64"/>
      <c r="BC365" s="66"/>
      <c r="BD365" s="66"/>
      <c r="BE365" s="66"/>
    </row>
    <row r="366" spans="1:177" ht="21" customHeight="1" x14ac:dyDescent="0.2">
      <c r="B366" s="51">
        <v>2</v>
      </c>
      <c r="C366" s="73" t="s">
        <v>42</v>
      </c>
      <c r="D366" s="67">
        <v>22024</v>
      </c>
      <c r="E366" s="73" t="s">
        <v>510</v>
      </c>
      <c r="F366" s="72" t="s">
        <v>511</v>
      </c>
      <c r="G366" s="99">
        <v>44479</v>
      </c>
      <c r="H366" s="56" t="str">
        <f t="shared" si="487"/>
        <v>3 AÑOS</v>
      </c>
      <c r="I366" s="57">
        <v>13462.167279317357</v>
      </c>
      <c r="J366" s="58"/>
      <c r="K366" s="58"/>
      <c r="L366" s="59"/>
      <c r="M366" s="60">
        <v>4.0000000000000002E-4</v>
      </c>
      <c r="N366" s="61">
        <f t="shared" si="488"/>
        <v>538.48669117269424</v>
      </c>
      <c r="O366" s="58">
        <f t="shared" si="489"/>
        <v>14000.653970490052</v>
      </c>
      <c r="P366" s="61">
        <f t="shared" si="490"/>
        <v>28001.307940980103</v>
      </c>
      <c r="Q366" s="61">
        <f t="shared" si="491"/>
        <v>21000.980955735078</v>
      </c>
      <c r="R366" s="61">
        <f t="shared" si="492"/>
        <v>7000.3269852450258</v>
      </c>
      <c r="S366" s="61">
        <f t="shared" si="493"/>
        <v>933.37693136600342</v>
      </c>
      <c r="T366" s="58">
        <f t="shared" si="429"/>
        <v>1071.4233795150353</v>
      </c>
      <c r="U366" s="61">
        <f t="shared" si="494"/>
        <v>10500.490477867539</v>
      </c>
      <c r="V366" s="58">
        <f t="shared" si="495"/>
        <v>3500.1634926225129</v>
      </c>
      <c r="W366" s="62">
        <v>0</v>
      </c>
      <c r="X366" s="63">
        <f t="shared" si="496"/>
        <v>0</v>
      </c>
      <c r="Y366" s="61">
        <v>2839.6855801450129</v>
      </c>
      <c r="Z366" s="61">
        <v>0</v>
      </c>
      <c r="AA366" s="61">
        <f t="shared" si="497"/>
        <v>3500.1634926225129</v>
      </c>
      <c r="AB366" s="61">
        <f t="shared" si="498"/>
        <v>700.03269852450251</v>
      </c>
      <c r="AC366" s="61">
        <v>3980.2931597023162</v>
      </c>
      <c r="AD366" s="61">
        <v>2808.2542488778836</v>
      </c>
      <c r="AE366" s="61">
        <v>1660.7062382483048</v>
      </c>
      <c r="AF366" s="61">
        <v>0</v>
      </c>
      <c r="AG366" s="61">
        <f t="shared" si="499"/>
        <v>966.04512396381347</v>
      </c>
      <c r="AH366" s="64"/>
      <c r="AI366" s="64"/>
      <c r="AJ366" s="51">
        <v>2</v>
      </c>
      <c r="AK366" s="73" t="s">
        <v>42</v>
      </c>
      <c r="AL366" s="67">
        <v>22024</v>
      </c>
      <c r="AM366" s="73" t="s">
        <v>510</v>
      </c>
      <c r="AN366" s="72" t="s">
        <v>511</v>
      </c>
      <c r="AO366" s="138">
        <f>Q366*12</f>
        <v>252011.77146882092</v>
      </c>
      <c r="AP366" s="65">
        <f>R366*12</f>
        <v>84003.923822940313</v>
      </c>
      <c r="AQ366" s="65">
        <f t="shared" si="500"/>
        <v>0</v>
      </c>
      <c r="AR366" s="65">
        <f t="shared" si="500"/>
        <v>34076.226961740154</v>
      </c>
      <c r="AS366" s="65">
        <f t="shared" si="500"/>
        <v>0</v>
      </c>
      <c r="AT366" s="65">
        <f t="shared" si="500"/>
        <v>42001.961911470156</v>
      </c>
      <c r="AU366" s="65">
        <f t="shared" si="500"/>
        <v>8400.3923822940305</v>
      </c>
      <c r="AV366" s="65">
        <f t="shared" si="500"/>
        <v>47763.517916427794</v>
      </c>
      <c r="AW366" s="65">
        <f t="shared" si="500"/>
        <v>33699.050986534603</v>
      </c>
      <c r="AX366" s="65">
        <f t="shared" si="500"/>
        <v>19928.474858979658</v>
      </c>
      <c r="AY366" s="65">
        <f t="shared" si="500"/>
        <v>0</v>
      </c>
      <c r="AZ366" s="65">
        <f t="shared" si="500"/>
        <v>11592.541487565763</v>
      </c>
      <c r="BB366" s="64"/>
      <c r="BC366" s="66"/>
      <c r="BD366" s="66"/>
      <c r="BE366" s="66"/>
    </row>
    <row r="367" spans="1:177" ht="21" customHeight="1" x14ac:dyDescent="0.2">
      <c r="B367" s="67">
        <v>3</v>
      </c>
      <c r="C367" s="73" t="s">
        <v>42</v>
      </c>
      <c r="D367" s="67">
        <v>4085</v>
      </c>
      <c r="E367" s="73" t="s">
        <v>512</v>
      </c>
      <c r="F367" s="79" t="s">
        <v>513</v>
      </c>
      <c r="G367" s="123">
        <v>44197</v>
      </c>
      <c r="H367" s="56" t="str">
        <f t="shared" si="487"/>
        <v>3 AÑOS</v>
      </c>
      <c r="I367" s="57">
        <v>7852.7135934508487</v>
      </c>
      <c r="J367" s="58"/>
      <c r="K367" s="58"/>
      <c r="L367" s="59"/>
      <c r="M367" s="60">
        <v>4.0000000000000002E-4</v>
      </c>
      <c r="N367" s="61">
        <f t="shared" si="488"/>
        <v>314.10854373803397</v>
      </c>
      <c r="O367" s="58">
        <f t="shared" si="489"/>
        <v>8166.8221371888831</v>
      </c>
      <c r="P367" s="61">
        <f t="shared" si="490"/>
        <v>16333.644274377766</v>
      </c>
      <c r="Q367" s="61">
        <f t="shared" si="491"/>
        <v>12250.233205783325</v>
      </c>
      <c r="R367" s="61">
        <f t="shared" si="492"/>
        <v>4083.4110685944415</v>
      </c>
      <c r="S367" s="61">
        <f t="shared" si="493"/>
        <v>544.45480914592554</v>
      </c>
      <c r="T367" s="58">
        <f t="shared" si="429"/>
        <v>624.97967541860783</v>
      </c>
      <c r="U367" s="61">
        <f t="shared" si="494"/>
        <v>6125.1166028916623</v>
      </c>
      <c r="V367" s="58">
        <f t="shared" si="495"/>
        <v>2041.7055342972208</v>
      </c>
      <c r="W367" s="62">
        <v>0</v>
      </c>
      <c r="X367" s="63">
        <f t="shared" si="496"/>
        <v>0</v>
      </c>
      <c r="Y367" s="61">
        <v>1084.9941129253318</v>
      </c>
      <c r="Z367" s="61">
        <v>0</v>
      </c>
      <c r="AA367" s="61">
        <f t="shared" si="497"/>
        <v>2041.7055342972208</v>
      </c>
      <c r="AB367" s="61">
        <f t="shared" si="498"/>
        <v>408.34110685944415</v>
      </c>
      <c r="AC367" s="61">
        <v>2550.2825005223763</v>
      </c>
      <c r="AD367" s="61">
        <v>1638.1029782559422</v>
      </c>
      <c r="AE367" s="61">
        <v>968.7184968988422</v>
      </c>
      <c r="AF367" s="61">
        <v>0</v>
      </c>
      <c r="AG367" s="61">
        <f t="shared" si="499"/>
        <v>563.5107274660329</v>
      </c>
      <c r="AH367" s="64"/>
      <c r="AI367" s="64"/>
      <c r="AJ367" s="67">
        <v>3</v>
      </c>
      <c r="AK367" s="73" t="s">
        <v>42</v>
      </c>
      <c r="AL367" s="67">
        <v>4085</v>
      </c>
      <c r="AM367" s="73" t="s">
        <v>512</v>
      </c>
      <c r="AN367" s="79" t="s">
        <v>513</v>
      </c>
      <c r="AO367" s="65">
        <f>Q367*7</f>
        <v>85751.63244048327</v>
      </c>
      <c r="AP367" s="65">
        <f>R367*7</f>
        <v>28583.877480161093</v>
      </c>
      <c r="AQ367" s="65">
        <f t="shared" ref="AQ367:AZ367" si="501">X367*7</f>
        <v>0</v>
      </c>
      <c r="AR367" s="65">
        <f t="shared" si="501"/>
        <v>7594.9587904773225</v>
      </c>
      <c r="AS367" s="65">
        <f t="shared" si="501"/>
        <v>0</v>
      </c>
      <c r="AT367" s="65">
        <f t="shared" si="501"/>
        <v>14291.938740080546</v>
      </c>
      <c r="AU367" s="65">
        <f t="shared" si="501"/>
        <v>2858.3877480161091</v>
      </c>
      <c r="AV367" s="65">
        <f t="shared" si="501"/>
        <v>17851.977503656635</v>
      </c>
      <c r="AW367" s="65">
        <f t="shared" si="501"/>
        <v>11466.720847791596</v>
      </c>
      <c r="AX367" s="65">
        <f t="shared" si="501"/>
        <v>6781.0294782918954</v>
      </c>
      <c r="AY367" s="65">
        <f t="shared" si="501"/>
        <v>0</v>
      </c>
      <c r="AZ367" s="65">
        <f t="shared" si="501"/>
        <v>3944.5750922622301</v>
      </c>
      <c r="BB367" s="64"/>
      <c r="BC367" s="66"/>
      <c r="BD367" s="66"/>
      <c r="BE367" s="66"/>
    </row>
    <row r="368" spans="1:177" ht="21" customHeight="1" x14ac:dyDescent="0.2">
      <c r="B368" s="51">
        <v>4</v>
      </c>
      <c r="C368" s="73" t="s">
        <v>42</v>
      </c>
      <c r="D368" s="67">
        <v>9032</v>
      </c>
      <c r="E368" s="68" t="s">
        <v>514</v>
      </c>
      <c r="F368" s="79" t="s">
        <v>515</v>
      </c>
      <c r="G368" s="155">
        <v>39485</v>
      </c>
      <c r="H368" s="56" t="str">
        <f t="shared" si="487"/>
        <v>16 AÑOS</v>
      </c>
      <c r="I368" s="57">
        <v>7837.7560437490411</v>
      </c>
      <c r="J368" s="58"/>
      <c r="K368" s="58"/>
      <c r="L368" s="59"/>
      <c r="M368" s="60">
        <v>4.0000000000000002E-4</v>
      </c>
      <c r="N368" s="61">
        <f t="shared" si="488"/>
        <v>313.51024174996166</v>
      </c>
      <c r="O368" s="58">
        <f t="shared" si="489"/>
        <v>8151.2662854990031</v>
      </c>
      <c r="P368" s="61">
        <f t="shared" si="490"/>
        <v>16302.532570998006</v>
      </c>
      <c r="Q368" s="61">
        <f t="shared" si="491"/>
        <v>12226.899428248504</v>
      </c>
      <c r="R368" s="61">
        <f t="shared" si="492"/>
        <v>4075.6331427495015</v>
      </c>
      <c r="S368" s="61">
        <f t="shared" si="493"/>
        <v>543.41775236660021</v>
      </c>
      <c r="T368" s="58">
        <f t="shared" si="429"/>
        <v>623.78923794162029</v>
      </c>
      <c r="U368" s="61">
        <f t="shared" si="494"/>
        <v>6113.4497141242518</v>
      </c>
      <c r="V368" s="58">
        <f t="shared" si="495"/>
        <v>2037.8165713747508</v>
      </c>
      <c r="W368" s="62">
        <v>0</v>
      </c>
      <c r="X368" s="63">
        <f t="shared" si="496"/>
        <v>0</v>
      </c>
      <c r="Y368" s="61">
        <v>1081.2607085197606</v>
      </c>
      <c r="Z368" s="61">
        <v>0</v>
      </c>
      <c r="AA368" s="61">
        <f t="shared" si="497"/>
        <v>2037.816571374751</v>
      </c>
      <c r="AB368" s="61">
        <f t="shared" si="498"/>
        <v>407.56331427495019</v>
      </c>
      <c r="AC368" s="61">
        <v>2546.4693920261448</v>
      </c>
      <c r="AD368" s="61">
        <v>1634.9827821068839</v>
      </c>
      <c r="AE368" s="61">
        <v>966.8733188095116</v>
      </c>
      <c r="AF368" s="61">
        <v>0</v>
      </c>
      <c r="AG368" s="61">
        <f t="shared" si="499"/>
        <v>562.43737369943119</v>
      </c>
      <c r="AH368" s="64"/>
      <c r="AI368" s="64"/>
      <c r="AJ368" s="51">
        <v>4</v>
      </c>
      <c r="AK368" s="73" t="s">
        <v>42</v>
      </c>
      <c r="AL368" s="67">
        <v>9032</v>
      </c>
      <c r="AM368" s="68" t="s">
        <v>514</v>
      </c>
      <c r="AN368" s="79" t="s">
        <v>515</v>
      </c>
      <c r="AO368" s="138">
        <f t="shared" ref="AO368:AP370" si="502">Q368*12</f>
        <v>146722.79313898203</v>
      </c>
      <c r="AP368" s="65">
        <f t="shared" si="502"/>
        <v>48907.597712994015</v>
      </c>
      <c r="AQ368" s="65">
        <f t="shared" ref="AQ368:AZ370" si="503">X368*12</f>
        <v>0</v>
      </c>
      <c r="AR368" s="65">
        <f t="shared" si="503"/>
        <v>12975.128502237127</v>
      </c>
      <c r="AS368" s="65">
        <f t="shared" si="503"/>
        <v>0</v>
      </c>
      <c r="AT368" s="65">
        <f t="shared" si="503"/>
        <v>24453.798856497011</v>
      </c>
      <c r="AU368" s="65">
        <f t="shared" si="503"/>
        <v>4890.759771299402</v>
      </c>
      <c r="AV368" s="65">
        <f t="shared" si="503"/>
        <v>30557.632704313735</v>
      </c>
      <c r="AW368" s="65">
        <f t="shared" si="503"/>
        <v>19619.793385282606</v>
      </c>
      <c r="AX368" s="65">
        <f t="shared" si="503"/>
        <v>11602.479825714139</v>
      </c>
      <c r="AY368" s="65">
        <f t="shared" si="503"/>
        <v>0</v>
      </c>
      <c r="AZ368" s="65">
        <f t="shared" si="503"/>
        <v>6749.2484843931743</v>
      </c>
      <c r="BB368" s="64"/>
      <c r="BC368" s="66"/>
      <c r="BD368" s="66"/>
      <c r="BE368" s="66"/>
    </row>
    <row r="369" spans="1:177" ht="21" customHeight="1" x14ac:dyDescent="0.2">
      <c r="B369" s="51">
        <v>5</v>
      </c>
      <c r="C369" s="73" t="s">
        <v>42</v>
      </c>
      <c r="D369" s="67">
        <v>6142</v>
      </c>
      <c r="E369" s="68" t="s">
        <v>516</v>
      </c>
      <c r="F369" s="79" t="s">
        <v>517</v>
      </c>
      <c r="G369" s="123">
        <v>43427</v>
      </c>
      <c r="H369" s="56" t="str">
        <f t="shared" si="487"/>
        <v>6 AÑOS</v>
      </c>
      <c r="I369" s="57">
        <v>7165.4820099621966</v>
      </c>
      <c r="J369" s="58"/>
      <c r="K369" s="58"/>
      <c r="L369" s="59"/>
      <c r="M369" s="60">
        <v>4.0000000000000002E-4</v>
      </c>
      <c r="N369" s="61">
        <f t="shared" si="488"/>
        <v>286.61928039848789</v>
      </c>
      <c r="O369" s="58">
        <f t="shared" si="489"/>
        <v>7452.1012903606843</v>
      </c>
      <c r="P369" s="61">
        <f t="shared" si="490"/>
        <v>14904.202580721369</v>
      </c>
      <c r="Q369" s="61">
        <f t="shared" si="491"/>
        <v>11178.151935541027</v>
      </c>
      <c r="R369" s="61">
        <f t="shared" si="492"/>
        <v>3726.0506451803421</v>
      </c>
      <c r="S369" s="61">
        <f t="shared" si="493"/>
        <v>496.8067526907123</v>
      </c>
      <c r="T369" s="58">
        <f t="shared" si="429"/>
        <v>570.2844714136686</v>
      </c>
      <c r="U369" s="61">
        <f t="shared" si="494"/>
        <v>5589.0759677705137</v>
      </c>
      <c r="V369" s="58">
        <f t="shared" si="495"/>
        <v>1863.0253225901711</v>
      </c>
      <c r="W369" s="62">
        <v>0</v>
      </c>
      <c r="X369" s="63">
        <f t="shared" si="496"/>
        <v>0</v>
      </c>
      <c r="Y369" s="61">
        <v>913.46110968656433</v>
      </c>
      <c r="Z369" s="61">
        <v>0</v>
      </c>
      <c r="AA369" s="61">
        <f t="shared" si="497"/>
        <v>1863.0253225901713</v>
      </c>
      <c r="AB369" s="61">
        <f t="shared" si="498"/>
        <v>372.60506451803423</v>
      </c>
      <c r="AC369" s="61">
        <v>2375.0874557375341</v>
      </c>
      <c r="AD369" s="61">
        <v>1494.744113798796</v>
      </c>
      <c r="AE369" s="61">
        <v>883.94093069118628</v>
      </c>
      <c r="AF369" s="61">
        <v>0</v>
      </c>
      <c r="AG369" s="61">
        <f t="shared" si="499"/>
        <v>514.19498903488716</v>
      </c>
      <c r="AH369" s="64"/>
      <c r="AI369" s="64"/>
      <c r="AJ369" s="51">
        <v>5</v>
      </c>
      <c r="AK369" s="73" t="s">
        <v>42</v>
      </c>
      <c r="AL369" s="67">
        <v>6142</v>
      </c>
      <c r="AM369" s="68" t="s">
        <v>516</v>
      </c>
      <c r="AN369" s="79" t="s">
        <v>517</v>
      </c>
      <c r="AO369" s="138">
        <f t="shared" si="502"/>
        <v>134137.82322649233</v>
      </c>
      <c r="AP369" s="65">
        <f t="shared" si="502"/>
        <v>44712.607742164109</v>
      </c>
      <c r="AQ369" s="65">
        <f t="shared" si="503"/>
        <v>0</v>
      </c>
      <c r="AR369" s="65">
        <f t="shared" si="503"/>
        <v>10961.533316238772</v>
      </c>
      <c r="AS369" s="65">
        <f t="shared" si="503"/>
        <v>0</v>
      </c>
      <c r="AT369" s="65">
        <f t="shared" si="503"/>
        <v>22356.303871082055</v>
      </c>
      <c r="AU369" s="65">
        <f t="shared" si="503"/>
        <v>4471.2607742164109</v>
      </c>
      <c r="AV369" s="65">
        <f t="shared" si="503"/>
        <v>28501.049468850411</v>
      </c>
      <c r="AW369" s="65">
        <f t="shared" si="503"/>
        <v>17936.929365585551</v>
      </c>
      <c r="AX369" s="65">
        <f t="shared" si="503"/>
        <v>10607.291168294236</v>
      </c>
      <c r="AY369" s="65">
        <f t="shared" si="503"/>
        <v>0</v>
      </c>
      <c r="AZ369" s="65">
        <f t="shared" si="503"/>
        <v>6170.3398684186459</v>
      </c>
      <c r="BB369" s="64"/>
      <c r="BC369" s="66"/>
      <c r="BD369" s="66"/>
      <c r="BE369" s="66"/>
    </row>
    <row r="370" spans="1:177" ht="21" customHeight="1" x14ac:dyDescent="0.2">
      <c r="B370" s="67">
        <v>6</v>
      </c>
      <c r="C370" s="73" t="s">
        <v>42</v>
      </c>
      <c r="D370" s="67">
        <v>11132</v>
      </c>
      <c r="E370" s="68" t="s">
        <v>518</v>
      </c>
      <c r="F370" s="79" t="s">
        <v>519</v>
      </c>
      <c r="G370" s="123">
        <v>39939</v>
      </c>
      <c r="H370" s="56" t="str">
        <f t="shared" si="487"/>
        <v>15 AÑOS</v>
      </c>
      <c r="I370" s="75">
        <v>8003.727316401827</v>
      </c>
      <c r="J370" s="75"/>
      <c r="K370" s="75"/>
      <c r="L370" s="137"/>
      <c r="M370" s="60">
        <v>4.0000000000000002E-4</v>
      </c>
      <c r="N370" s="61">
        <f t="shared" si="488"/>
        <v>320.14909265607309</v>
      </c>
      <c r="O370" s="58">
        <f t="shared" si="489"/>
        <v>8323.8764090579007</v>
      </c>
      <c r="P370" s="61">
        <f t="shared" si="490"/>
        <v>16647.752818115801</v>
      </c>
      <c r="Q370" s="61">
        <f t="shared" si="491"/>
        <v>12485.814613586852</v>
      </c>
      <c r="R370" s="61">
        <f t="shared" si="492"/>
        <v>4161.9382045289503</v>
      </c>
      <c r="S370" s="61">
        <f t="shared" si="493"/>
        <v>554.92509393719342</v>
      </c>
      <c r="T370" s="58">
        <f t="shared" si="429"/>
        <v>636.99851533050423</v>
      </c>
      <c r="U370" s="61">
        <f t="shared" si="494"/>
        <v>6242.907306793426</v>
      </c>
      <c r="V370" s="58">
        <f t="shared" si="495"/>
        <v>2080.9691022644752</v>
      </c>
      <c r="W370" s="62">
        <v>0</v>
      </c>
      <c r="X370" s="63">
        <f t="shared" si="496"/>
        <v>0</v>
      </c>
      <c r="Y370" s="61">
        <v>1122.6871381738963</v>
      </c>
      <c r="Z370" s="61">
        <v>0</v>
      </c>
      <c r="AA370" s="61">
        <f t="shared" si="497"/>
        <v>2080.9691022644752</v>
      </c>
      <c r="AB370" s="61">
        <f t="shared" si="498"/>
        <v>416.19382045289507</v>
      </c>
      <c r="AC370" s="61">
        <v>2588.780230532423</v>
      </c>
      <c r="AD370" s="61">
        <v>1669.6049586070185</v>
      </c>
      <c r="AE370" s="61">
        <v>987.34769876228165</v>
      </c>
      <c r="AF370" s="61">
        <v>0</v>
      </c>
      <c r="AG370" s="61">
        <f t="shared" si="499"/>
        <v>574.34747222499516</v>
      </c>
      <c r="AH370" s="64"/>
      <c r="AI370" s="64"/>
      <c r="AJ370" s="67">
        <v>6</v>
      </c>
      <c r="AK370" s="73" t="s">
        <v>42</v>
      </c>
      <c r="AL370" s="67">
        <v>11132</v>
      </c>
      <c r="AM370" s="68" t="s">
        <v>518</v>
      </c>
      <c r="AN370" s="79" t="s">
        <v>519</v>
      </c>
      <c r="AO370" s="138">
        <f t="shared" si="502"/>
        <v>149829.77536304222</v>
      </c>
      <c r="AP370" s="65">
        <f t="shared" si="502"/>
        <v>49943.258454347408</v>
      </c>
      <c r="AQ370" s="65">
        <f t="shared" si="503"/>
        <v>0</v>
      </c>
      <c r="AR370" s="65">
        <f t="shared" si="503"/>
        <v>13472.245658086755</v>
      </c>
      <c r="AS370" s="65">
        <f t="shared" si="503"/>
        <v>0</v>
      </c>
      <c r="AT370" s="65">
        <f t="shared" si="503"/>
        <v>24971.629227173704</v>
      </c>
      <c r="AU370" s="65">
        <f t="shared" si="503"/>
        <v>4994.3258454347406</v>
      </c>
      <c r="AV370" s="65">
        <f t="shared" si="503"/>
        <v>31065.362766389077</v>
      </c>
      <c r="AW370" s="65">
        <f t="shared" si="503"/>
        <v>20035.259503284222</v>
      </c>
      <c r="AX370" s="65">
        <f t="shared" si="503"/>
        <v>11848.17238514738</v>
      </c>
      <c r="AY370" s="65">
        <f t="shared" si="503"/>
        <v>0</v>
      </c>
      <c r="AZ370" s="65">
        <f t="shared" si="503"/>
        <v>6892.1696666999414</v>
      </c>
      <c r="BB370" s="64"/>
      <c r="BC370" s="66"/>
      <c r="BD370" s="66"/>
      <c r="BE370" s="66"/>
    </row>
    <row r="371" spans="1:177" s="96" customFormat="1" ht="21" customHeight="1" x14ac:dyDescent="0.2">
      <c r="A371" s="50"/>
      <c r="B371" s="468" t="s">
        <v>65</v>
      </c>
      <c r="C371" s="469"/>
      <c r="D371" s="469"/>
      <c r="E371" s="469"/>
      <c r="F371" s="470"/>
      <c r="G371" s="139"/>
      <c r="H371" s="244"/>
      <c r="I371" s="91">
        <f>SUM(I365:I370)</f>
        <v>52174.559836332111</v>
      </c>
      <c r="J371" s="91">
        <f t="shared" ref="J371:AG371" si="504">SUM(J365:J370)</f>
        <v>0</v>
      </c>
      <c r="K371" s="91">
        <f t="shared" si="504"/>
        <v>0</v>
      </c>
      <c r="L371" s="91">
        <f t="shared" si="504"/>
        <v>0</v>
      </c>
      <c r="M371" s="91">
        <f t="shared" si="504"/>
        <v>2.4000000000000002E-3</v>
      </c>
      <c r="N371" s="91">
        <f t="shared" si="504"/>
        <v>2086.9823934532847</v>
      </c>
      <c r="O371" s="91">
        <f t="shared" si="504"/>
        <v>54261.542229785402</v>
      </c>
      <c r="P371" s="91">
        <f t="shared" si="504"/>
        <v>108523.0844595708</v>
      </c>
      <c r="Q371" s="91">
        <f t="shared" si="504"/>
        <v>81392.313344678114</v>
      </c>
      <c r="R371" s="91">
        <f t="shared" si="504"/>
        <v>27130.771114892701</v>
      </c>
      <c r="S371" s="91">
        <f t="shared" si="504"/>
        <v>3617.4361486523603</v>
      </c>
      <c r="T371" s="91">
        <f t="shared" si="504"/>
        <v>4152.4549550380434</v>
      </c>
      <c r="U371" s="91">
        <f t="shared" si="504"/>
        <v>40696.156672339057</v>
      </c>
      <c r="V371" s="91">
        <f t="shared" si="504"/>
        <v>13565.385557446351</v>
      </c>
      <c r="W371" s="91">
        <f t="shared" si="504"/>
        <v>0</v>
      </c>
      <c r="X371" s="91">
        <f t="shared" si="504"/>
        <v>0</v>
      </c>
      <c r="Y371" s="91">
        <f t="shared" si="504"/>
        <v>8127.0827623758987</v>
      </c>
      <c r="Z371" s="91">
        <f t="shared" si="504"/>
        <v>0</v>
      </c>
      <c r="AA371" s="91">
        <f t="shared" si="504"/>
        <v>13565.385557446351</v>
      </c>
      <c r="AB371" s="91">
        <f t="shared" si="504"/>
        <v>2713.0771114892705</v>
      </c>
      <c r="AC371" s="91">
        <f t="shared" si="504"/>
        <v>16591.195239043172</v>
      </c>
      <c r="AD371" s="91">
        <f t="shared" si="504"/>
        <v>10883.792059902466</v>
      </c>
      <c r="AE371" s="91">
        <f t="shared" si="504"/>
        <v>6436.3051803089684</v>
      </c>
      <c r="AF371" s="91">
        <f t="shared" si="504"/>
        <v>0</v>
      </c>
      <c r="AG371" s="91">
        <f t="shared" si="504"/>
        <v>3744.0464138551929</v>
      </c>
      <c r="AH371" s="92"/>
      <c r="AI371" s="92"/>
      <c r="AJ371" s="468" t="s">
        <v>65</v>
      </c>
      <c r="AK371" s="469"/>
      <c r="AL371" s="469"/>
      <c r="AM371" s="469"/>
      <c r="AN371" s="470"/>
      <c r="AO371" s="144">
        <f>SUM(AO365:AO370)</f>
        <v>915456.59410722065</v>
      </c>
      <c r="AP371" s="144">
        <f t="shared" ref="AP371:AZ371" si="505">SUM(AP365:AP370)</f>
        <v>305152.19803574018</v>
      </c>
      <c r="AQ371" s="144">
        <f t="shared" si="505"/>
        <v>0</v>
      </c>
      <c r="AR371" s="144">
        <f t="shared" si="505"/>
        <v>92100.022583884114</v>
      </c>
      <c r="AS371" s="144">
        <f t="shared" si="505"/>
        <v>0</v>
      </c>
      <c r="AT371" s="144">
        <f t="shared" si="505"/>
        <v>152576.09901787012</v>
      </c>
      <c r="AU371" s="144">
        <f t="shared" si="505"/>
        <v>30515.219803574026</v>
      </c>
      <c r="AV371" s="144">
        <f t="shared" si="505"/>
        <v>186342.93036590613</v>
      </c>
      <c r="AW371" s="144">
        <f t="shared" si="505"/>
        <v>122414.98982754989</v>
      </c>
      <c r="AX371" s="144">
        <f t="shared" si="505"/>
        <v>72392.069679213411</v>
      </c>
      <c r="AY371" s="144">
        <f t="shared" si="505"/>
        <v>0</v>
      </c>
      <c r="AZ371" s="144">
        <f t="shared" si="505"/>
        <v>42111.003328932151</v>
      </c>
      <c r="BA371" s="94"/>
      <c r="BB371" s="92"/>
      <c r="BC371" s="95"/>
      <c r="BD371" s="95"/>
      <c r="BE371" s="95"/>
      <c r="BF371" s="50"/>
      <c r="BG371" s="50"/>
      <c r="BH371" s="50"/>
      <c r="BI371" s="50"/>
      <c r="BJ371" s="50"/>
      <c r="BK371" s="50"/>
      <c r="BL371" s="50"/>
      <c r="BM371" s="50"/>
      <c r="BN371" s="50"/>
      <c r="BO371" s="50"/>
      <c r="BP371" s="50"/>
      <c r="BQ371" s="50"/>
      <c r="BR371" s="50"/>
      <c r="BS371" s="50"/>
      <c r="BT371" s="50"/>
      <c r="BU371" s="50"/>
      <c r="BV371" s="50"/>
      <c r="BW371" s="50"/>
      <c r="BX371" s="50"/>
      <c r="BY371" s="50"/>
      <c r="BZ371" s="50"/>
      <c r="CA371" s="50"/>
      <c r="CB371" s="50"/>
      <c r="CC371" s="50"/>
      <c r="CD371" s="50"/>
      <c r="CE371" s="50"/>
      <c r="CF371" s="50"/>
      <c r="CG371" s="50"/>
      <c r="CH371" s="50"/>
      <c r="CI371" s="50"/>
      <c r="CJ371" s="50"/>
      <c r="CK371" s="50"/>
      <c r="CL371" s="50"/>
      <c r="CM371" s="50"/>
      <c r="CN371" s="50"/>
      <c r="CO371" s="50"/>
      <c r="CP371" s="50"/>
      <c r="CQ371" s="50"/>
      <c r="CR371" s="50"/>
      <c r="CS371" s="50"/>
      <c r="CT371" s="50"/>
      <c r="CU371" s="50"/>
      <c r="CV371" s="50"/>
      <c r="CW371" s="50"/>
      <c r="CX371" s="50"/>
      <c r="CY371" s="50"/>
      <c r="CZ371" s="50"/>
      <c r="DA371" s="50"/>
      <c r="DB371" s="50"/>
      <c r="DC371" s="50"/>
      <c r="DD371" s="50"/>
      <c r="DE371" s="50"/>
      <c r="DF371" s="50"/>
      <c r="DG371" s="50"/>
      <c r="DH371" s="50"/>
      <c r="DI371" s="50"/>
      <c r="DJ371" s="50"/>
      <c r="DK371" s="50"/>
      <c r="DL371" s="50"/>
      <c r="DM371" s="50"/>
      <c r="DN371" s="50"/>
      <c r="DO371" s="50"/>
      <c r="DP371" s="50"/>
      <c r="DQ371" s="50"/>
      <c r="DR371" s="50"/>
      <c r="DS371" s="50"/>
      <c r="DT371" s="50"/>
      <c r="DU371" s="50"/>
      <c r="DV371" s="50"/>
      <c r="DW371" s="50"/>
      <c r="DX371" s="50"/>
      <c r="DY371" s="50"/>
      <c r="DZ371" s="50"/>
      <c r="EA371" s="50"/>
      <c r="EB371" s="50"/>
      <c r="EC371" s="50"/>
      <c r="ED371" s="50"/>
      <c r="EE371" s="50"/>
      <c r="EF371" s="50"/>
      <c r="EG371" s="50"/>
      <c r="EH371" s="50"/>
      <c r="EI371" s="50"/>
      <c r="EJ371" s="50"/>
      <c r="EK371" s="50"/>
      <c r="EL371" s="50"/>
      <c r="EM371" s="50"/>
      <c r="EN371" s="50"/>
      <c r="EO371" s="50"/>
      <c r="EP371" s="50"/>
      <c r="EQ371" s="50"/>
      <c r="ER371" s="50"/>
      <c r="ES371" s="50"/>
      <c r="ET371" s="50"/>
      <c r="EU371" s="50"/>
      <c r="EV371" s="50"/>
      <c r="EW371" s="50"/>
      <c r="EX371" s="50"/>
      <c r="EY371" s="50"/>
      <c r="EZ371" s="50"/>
      <c r="FA371" s="50"/>
      <c r="FB371" s="50"/>
      <c r="FC371" s="50"/>
      <c r="FD371" s="50"/>
      <c r="FE371" s="50"/>
      <c r="FF371" s="50"/>
      <c r="FG371" s="50"/>
      <c r="FH371" s="50"/>
      <c r="FI371" s="50"/>
      <c r="FJ371" s="50"/>
      <c r="FK371" s="50"/>
      <c r="FL371" s="50"/>
      <c r="FM371" s="50"/>
      <c r="FN371" s="50"/>
      <c r="FO371" s="50"/>
      <c r="FP371" s="50"/>
      <c r="FQ371" s="50"/>
      <c r="FR371" s="50"/>
      <c r="FS371" s="50"/>
      <c r="FT371" s="50"/>
      <c r="FU371" s="50"/>
    </row>
    <row r="372" spans="1:177" ht="21" customHeight="1" x14ac:dyDescent="0.2">
      <c r="B372" s="67">
        <v>7</v>
      </c>
      <c r="C372" s="73" t="s">
        <v>66</v>
      </c>
      <c r="D372" s="67">
        <v>10046</v>
      </c>
      <c r="E372" s="72" t="s">
        <v>520</v>
      </c>
      <c r="F372" s="112" t="s">
        <v>521</v>
      </c>
      <c r="G372" s="123">
        <v>40909</v>
      </c>
      <c r="H372" s="56" t="str">
        <f t="shared" ref="H372:H384" si="506" xml:space="preserve"> CONCATENATE(DATEDIF(G372,H$5,"Y")," AÑOS")</f>
        <v>12 AÑOS</v>
      </c>
      <c r="I372" s="75">
        <v>6238.7158313654545</v>
      </c>
      <c r="J372" s="75"/>
      <c r="K372" s="75"/>
      <c r="L372" s="137"/>
      <c r="M372" s="60">
        <v>4.0000000000000002E-4</v>
      </c>
      <c r="N372" s="61">
        <f t="shared" ref="N372:N382" si="507">I372*0.04</f>
        <v>249.54863325461818</v>
      </c>
      <c r="O372" s="58">
        <f t="shared" ref="O372:O384" si="508">I372+N372</f>
        <v>6488.2644646200724</v>
      </c>
      <c r="P372" s="61">
        <f t="shared" ref="P372:P384" si="509">O372*2</f>
        <v>12976.528929240145</v>
      </c>
      <c r="Q372" s="61">
        <f t="shared" ref="Q372:Q384" si="510">P372*0.75</f>
        <v>9732.3966969301091</v>
      </c>
      <c r="R372" s="61">
        <f t="shared" ref="R372:R384" si="511">P372*0.25</f>
        <v>3244.1322323100362</v>
      </c>
      <c r="S372" s="61">
        <f t="shared" ref="S372:S384" si="512">(P372/30)</f>
        <v>432.55096430800484</v>
      </c>
      <c r="T372" s="58">
        <f t="shared" ref="T372:T384" si="513">S372*1.1479</f>
        <v>496.52525192915874</v>
      </c>
      <c r="U372" s="61">
        <f t="shared" ref="U372:U384" si="514">O372*0.75</f>
        <v>4866.1983484650546</v>
      </c>
      <c r="V372" s="58">
        <f t="shared" ref="V372:V384" si="515">O372*0.25</f>
        <v>1622.0661161550181</v>
      </c>
      <c r="W372" s="101">
        <v>0.05</v>
      </c>
      <c r="X372" s="63">
        <f t="shared" ref="X372:X384" si="516">P372*W372</f>
        <v>648.82644646200731</v>
      </c>
      <c r="Y372" s="61">
        <v>745.9240246259958</v>
      </c>
      <c r="Z372" s="61">
        <v>0</v>
      </c>
      <c r="AA372" s="61">
        <f t="shared" ref="AA372:AA384" si="517">(S372*45)/12</f>
        <v>1622.0661161550181</v>
      </c>
      <c r="AB372" s="61">
        <f t="shared" ref="AB372:AB384" si="518">(S372*10)*(0.45*2)/12</f>
        <v>324.41322323100366</v>
      </c>
      <c r="AC372" s="61">
        <v>2138.8281712906428</v>
      </c>
      <c r="AD372" s="61">
        <v>1301.4175115689216</v>
      </c>
      <c r="AE372" s="61">
        <v>769.61414049019606</v>
      </c>
      <c r="AF372" s="61">
        <v>0</v>
      </c>
      <c r="AG372" s="61">
        <f t="shared" ref="AG372:AG384" si="519">(P372+AA372+AB372)*0.03</f>
        <v>447.69024805878496</v>
      </c>
      <c r="AH372" s="64"/>
      <c r="AI372" s="64"/>
      <c r="AJ372" s="67">
        <v>7</v>
      </c>
      <c r="AK372" s="73" t="s">
        <v>66</v>
      </c>
      <c r="AL372" s="67">
        <v>10046</v>
      </c>
      <c r="AM372" s="72" t="s">
        <v>520</v>
      </c>
      <c r="AN372" s="112" t="s">
        <v>521</v>
      </c>
      <c r="AO372" s="138">
        <f>Q372*12</f>
        <v>116788.7603631613</v>
      </c>
      <c r="AP372" s="65">
        <f>R372*12</f>
        <v>38929.586787720436</v>
      </c>
      <c r="AQ372" s="65">
        <f t="shared" ref="AQ372:AZ372" si="520">X372*12</f>
        <v>7785.9173575440873</v>
      </c>
      <c r="AR372" s="65">
        <f t="shared" si="520"/>
        <v>8951.0882955119487</v>
      </c>
      <c r="AS372" s="65">
        <f t="shared" si="520"/>
        <v>0</v>
      </c>
      <c r="AT372" s="65">
        <f t="shared" si="520"/>
        <v>19464.793393860218</v>
      </c>
      <c r="AU372" s="65">
        <f t="shared" si="520"/>
        <v>3892.9586787720436</v>
      </c>
      <c r="AV372" s="65">
        <f t="shared" si="520"/>
        <v>25665.938055487713</v>
      </c>
      <c r="AW372" s="65">
        <f t="shared" si="520"/>
        <v>15617.01013882706</v>
      </c>
      <c r="AX372" s="65">
        <f t="shared" si="520"/>
        <v>9235.3696858823532</v>
      </c>
      <c r="AY372" s="65">
        <f t="shared" si="520"/>
        <v>0</v>
      </c>
      <c r="AZ372" s="65">
        <f t="shared" si="520"/>
        <v>5372.2829767054191</v>
      </c>
      <c r="BB372" s="64"/>
      <c r="BC372" s="66"/>
      <c r="BD372" s="66"/>
      <c r="BE372" s="66"/>
    </row>
    <row r="373" spans="1:177" ht="21" customHeight="1" x14ac:dyDescent="0.2">
      <c r="B373" s="67">
        <v>8</v>
      </c>
      <c r="C373" s="73" t="s">
        <v>66</v>
      </c>
      <c r="D373" s="67">
        <v>22033</v>
      </c>
      <c r="E373" s="73" t="s">
        <v>522</v>
      </c>
      <c r="F373" s="191" t="s">
        <v>523</v>
      </c>
      <c r="G373" s="55">
        <v>45459</v>
      </c>
      <c r="H373" s="56" t="str">
        <f t="shared" si="506"/>
        <v>0 AÑOS</v>
      </c>
      <c r="I373" s="57">
        <v>6060.0204974237013</v>
      </c>
      <c r="J373" s="58"/>
      <c r="K373" s="58"/>
      <c r="L373" s="59"/>
      <c r="M373" s="60">
        <v>4.0000000000000002E-4</v>
      </c>
      <c r="N373" s="61">
        <f t="shared" si="507"/>
        <v>242.40081989694806</v>
      </c>
      <c r="O373" s="58">
        <f t="shared" si="508"/>
        <v>6302.421317320649</v>
      </c>
      <c r="P373" s="61">
        <f t="shared" si="509"/>
        <v>12604.842634641298</v>
      </c>
      <c r="Q373" s="61">
        <f t="shared" si="510"/>
        <v>9453.6319759809739</v>
      </c>
      <c r="R373" s="61">
        <f t="shared" si="511"/>
        <v>3151.2106586603245</v>
      </c>
      <c r="S373" s="61">
        <f t="shared" si="512"/>
        <v>420.16142115470996</v>
      </c>
      <c r="T373" s="58">
        <f t="shared" si="513"/>
        <v>482.30329534349153</v>
      </c>
      <c r="U373" s="61">
        <f t="shared" si="514"/>
        <v>4726.815987990487</v>
      </c>
      <c r="V373" s="58">
        <f t="shared" si="515"/>
        <v>1575.6053293301622</v>
      </c>
      <c r="W373" s="62">
        <v>0</v>
      </c>
      <c r="X373" s="63">
        <f t="shared" si="516"/>
        <v>0</v>
      </c>
      <c r="Y373" s="61">
        <v>715.59442298672991</v>
      </c>
      <c r="Z373" s="61">
        <v>0</v>
      </c>
      <c r="AA373" s="61">
        <f t="shared" si="517"/>
        <v>1575.6053293301622</v>
      </c>
      <c r="AB373" s="61">
        <f t="shared" si="518"/>
        <v>315.12106586603244</v>
      </c>
      <c r="AC373" s="61">
        <v>2093.2736045551565</v>
      </c>
      <c r="AD373" s="61">
        <v>1264.1410522600584</v>
      </c>
      <c r="AE373" s="61">
        <v>747.57010778241192</v>
      </c>
      <c r="AF373" s="61">
        <v>0</v>
      </c>
      <c r="AG373" s="61">
        <f t="shared" si="519"/>
        <v>434.86707089512481</v>
      </c>
      <c r="AH373" s="64"/>
      <c r="AI373" s="64"/>
      <c r="AJ373" s="67">
        <v>8</v>
      </c>
      <c r="AK373" s="73" t="s">
        <v>66</v>
      </c>
      <c r="AL373" s="67">
        <v>22033</v>
      </c>
      <c r="AM373" s="73" t="s">
        <v>522</v>
      </c>
      <c r="AN373" s="191" t="s">
        <v>523</v>
      </c>
      <c r="AO373" s="65">
        <f>Q373*9</f>
        <v>85082.687783828762</v>
      </c>
      <c r="AP373" s="65">
        <f>R373*9</f>
        <v>28360.895927942922</v>
      </c>
      <c r="AQ373" s="65">
        <f t="shared" ref="AQ373:AZ373" si="521">X373*9</f>
        <v>0</v>
      </c>
      <c r="AR373" s="65">
        <f t="shared" si="521"/>
        <v>6440.3498068805693</v>
      </c>
      <c r="AS373" s="65">
        <f t="shared" si="521"/>
        <v>0</v>
      </c>
      <c r="AT373" s="65">
        <f t="shared" si="521"/>
        <v>14180.447963971461</v>
      </c>
      <c r="AU373" s="65">
        <f t="shared" si="521"/>
        <v>2836.089592794292</v>
      </c>
      <c r="AV373" s="65">
        <f t="shared" si="521"/>
        <v>18839.462440996409</v>
      </c>
      <c r="AW373" s="65">
        <f t="shared" si="521"/>
        <v>11377.269470340525</v>
      </c>
      <c r="AX373" s="65">
        <f t="shared" si="521"/>
        <v>6728.1309700417078</v>
      </c>
      <c r="AY373" s="65">
        <f t="shared" si="521"/>
        <v>0</v>
      </c>
      <c r="AZ373" s="65">
        <f t="shared" si="521"/>
        <v>3913.8036380561234</v>
      </c>
      <c r="BB373" s="64"/>
      <c r="BC373" s="66"/>
      <c r="BD373" s="66"/>
      <c r="BE373" s="66"/>
    </row>
    <row r="374" spans="1:177" s="102" customFormat="1" ht="21" customHeight="1" x14ac:dyDescent="0.2">
      <c r="A374" s="50"/>
      <c r="B374" s="67">
        <v>9</v>
      </c>
      <c r="C374" s="73" t="s">
        <v>66</v>
      </c>
      <c r="D374" s="67">
        <v>11052</v>
      </c>
      <c r="E374" s="72" t="s">
        <v>524</v>
      </c>
      <c r="F374" s="245" t="s">
        <v>525</v>
      </c>
      <c r="G374" s="189">
        <v>36526</v>
      </c>
      <c r="H374" s="56" t="str">
        <f t="shared" si="506"/>
        <v>24 AÑOS</v>
      </c>
      <c r="I374" s="57">
        <v>4663.8913718766362</v>
      </c>
      <c r="J374" s="58"/>
      <c r="K374" s="58"/>
      <c r="L374" s="59"/>
      <c r="M374" s="60">
        <v>4.0000000000000002E-4</v>
      </c>
      <c r="N374" s="61">
        <f t="shared" si="507"/>
        <v>186.55565487506544</v>
      </c>
      <c r="O374" s="58">
        <f t="shared" si="508"/>
        <v>4850.4470267517017</v>
      </c>
      <c r="P374" s="61">
        <f t="shared" si="509"/>
        <v>9700.8940535034035</v>
      </c>
      <c r="Q374" s="61">
        <f t="shared" si="510"/>
        <v>7275.6705401275522</v>
      </c>
      <c r="R374" s="61">
        <f t="shared" si="511"/>
        <v>2425.2235133758509</v>
      </c>
      <c r="S374" s="61">
        <f t="shared" si="512"/>
        <v>323.36313511678014</v>
      </c>
      <c r="T374" s="58">
        <f t="shared" si="513"/>
        <v>371.18854280055189</v>
      </c>
      <c r="U374" s="61">
        <f t="shared" si="514"/>
        <v>3637.8352700637761</v>
      </c>
      <c r="V374" s="58">
        <f t="shared" si="515"/>
        <v>1212.6117566879254</v>
      </c>
      <c r="W374" s="101">
        <v>7.4999999999999997E-2</v>
      </c>
      <c r="X374" s="63">
        <f t="shared" si="516"/>
        <v>727.56705401275519</v>
      </c>
      <c r="Y374" s="61">
        <v>263.8322187658776</v>
      </c>
      <c r="Z374" s="61">
        <v>0</v>
      </c>
      <c r="AA374" s="61">
        <f t="shared" si="517"/>
        <v>1212.6117566879254</v>
      </c>
      <c r="AB374" s="61">
        <f t="shared" si="518"/>
        <v>242.52235133758509</v>
      </c>
      <c r="AC374" s="61">
        <v>1737.3602406291525</v>
      </c>
      <c r="AD374" s="61">
        <v>921.12292838670953</v>
      </c>
      <c r="AE374" s="61">
        <v>575.34224134085548</v>
      </c>
      <c r="AF374" s="61">
        <v>0</v>
      </c>
      <c r="AG374" s="61">
        <f t="shared" si="519"/>
        <v>334.68084484586745</v>
      </c>
      <c r="AH374" s="64"/>
      <c r="AI374" s="64"/>
      <c r="AJ374" s="67">
        <v>9</v>
      </c>
      <c r="AK374" s="73" t="s">
        <v>66</v>
      </c>
      <c r="AL374" s="67">
        <v>11052</v>
      </c>
      <c r="AM374" s="72" t="s">
        <v>524</v>
      </c>
      <c r="AN374" s="245" t="s">
        <v>525</v>
      </c>
      <c r="AO374" s="65">
        <f>Q374*12</f>
        <v>87308.046481530619</v>
      </c>
      <c r="AP374" s="65">
        <f>R374*12</f>
        <v>29102.682160510209</v>
      </c>
      <c r="AQ374" s="65">
        <f t="shared" ref="AQ374:AZ375" si="522">X374*12</f>
        <v>8730.8046481530619</v>
      </c>
      <c r="AR374" s="65">
        <f t="shared" si="522"/>
        <v>3165.9866251905314</v>
      </c>
      <c r="AS374" s="65">
        <f t="shared" si="522"/>
        <v>0</v>
      </c>
      <c r="AT374" s="65">
        <f t="shared" si="522"/>
        <v>14551.341080255104</v>
      </c>
      <c r="AU374" s="65">
        <f t="shared" si="522"/>
        <v>2910.2682160510212</v>
      </c>
      <c r="AV374" s="65">
        <f t="shared" si="522"/>
        <v>20848.322887549832</v>
      </c>
      <c r="AW374" s="65">
        <f t="shared" si="522"/>
        <v>11053.475140640514</v>
      </c>
      <c r="AX374" s="65">
        <f t="shared" si="522"/>
        <v>6904.1068960902658</v>
      </c>
      <c r="AY374" s="65">
        <f t="shared" si="522"/>
        <v>0</v>
      </c>
      <c r="AZ374" s="65">
        <f t="shared" si="522"/>
        <v>4016.1701381504095</v>
      </c>
      <c r="BA374" s="50"/>
      <c r="BB374" s="64"/>
      <c r="BC374" s="66"/>
      <c r="BD374" s="66"/>
      <c r="BE374" s="66"/>
      <c r="BF374" s="50"/>
      <c r="BG374" s="50"/>
      <c r="BH374" s="50"/>
      <c r="BI374" s="50"/>
      <c r="BJ374" s="50"/>
      <c r="BK374" s="50"/>
      <c r="BL374" s="50"/>
      <c r="BM374" s="50"/>
      <c r="BN374" s="50"/>
      <c r="BO374" s="50"/>
      <c r="BP374" s="50"/>
      <c r="BQ374" s="50"/>
      <c r="BR374" s="50"/>
      <c r="BS374" s="50"/>
      <c r="BT374" s="50"/>
      <c r="BU374" s="50"/>
      <c r="BV374" s="50"/>
      <c r="BW374" s="50"/>
      <c r="BX374" s="50"/>
      <c r="BY374" s="50"/>
      <c r="BZ374" s="50"/>
      <c r="CA374" s="50"/>
      <c r="CB374" s="50"/>
      <c r="CC374" s="50"/>
      <c r="CD374" s="50"/>
      <c r="CE374" s="50"/>
      <c r="CF374" s="50"/>
      <c r="CG374" s="50"/>
      <c r="CH374" s="50"/>
      <c r="CI374" s="50"/>
      <c r="CJ374" s="50"/>
      <c r="CK374" s="50"/>
      <c r="CL374" s="50"/>
      <c r="CM374" s="50"/>
      <c r="CN374" s="50"/>
      <c r="CO374" s="50"/>
      <c r="CP374" s="50"/>
      <c r="CQ374" s="50"/>
      <c r="CR374" s="50"/>
      <c r="CS374" s="50"/>
      <c r="CT374" s="50"/>
      <c r="CU374" s="50"/>
      <c r="CV374" s="50"/>
      <c r="CW374" s="50"/>
      <c r="CX374" s="50"/>
      <c r="CY374" s="50"/>
      <c r="CZ374" s="50"/>
      <c r="DA374" s="50"/>
      <c r="DB374" s="50"/>
      <c r="DC374" s="50"/>
      <c r="DD374" s="50"/>
      <c r="DE374" s="50"/>
      <c r="DF374" s="50"/>
      <c r="DG374" s="50"/>
      <c r="DH374" s="50"/>
      <c r="DI374" s="50"/>
      <c r="DJ374" s="50"/>
      <c r="DK374" s="50"/>
      <c r="DL374" s="50"/>
      <c r="DM374" s="50"/>
      <c r="DN374" s="50"/>
      <c r="DO374" s="50"/>
      <c r="DP374" s="50"/>
      <c r="DQ374" s="50"/>
      <c r="DR374" s="50"/>
      <c r="DS374" s="50"/>
      <c r="DT374" s="50"/>
      <c r="DU374" s="50"/>
      <c r="DV374" s="50"/>
      <c r="DW374" s="50"/>
      <c r="DX374" s="50"/>
      <c r="DY374" s="50"/>
      <c r="DZ374" s="50"/>
      <c r="EA374" s="50"/>
      <c r="EB374" s="50"/>
      <c r="EC374" s="50"/>
      <c r="ED374" s="50"/>
      <c r="EE374" s="50"/>
      <c r="EF374" s="50"/>
      <c r="EG374" s="50"/>
      <c r="EH374" s="50"/>
      <c r="EI374" s="50"/>
      <c r="EJ374" s="50"/>
      <c r="EK374" s="50"/>
      <c r="EL374" s="50"/>
      <c r="EM374" s="50"/>
      <c r="EN374" s="50"/>
      <c r="EO374" s="50"/>
      <c r="EP374" s="50"/>
      <c r="EQ374" s="50"/>
      <c r="ER374" s="50"/>
      <c r="ES374" s="50"/>
      <c r="ET374" s="50"/>
      <c r="EU374" s="50"/>
      <c r="EV374" s="50"/>
      <c r="EW374" s="50"/>
      <c r="EX374" s="50"/>
      <c r="EY374" s="50"/>
      <c r="EZ374" s="50"/>
      <c r="FA374" s="50"/>
      <c r="FB374" s="50"/>
      <c r="FC374" s="50"/>
      <c r="FD374" s="50"/>
      <c r="FE374" s="50"/>
      <c r="FF374" s="50"/>
      <c r="FG374" s="50"/>
      <c r="FH374" s="50"/>
      <c r="FI374" s="50"/>
      <c r="FJ374" s="50"/>
      <c r="FK374" s="50"/>
      <c r="FL374" s="50"/>
      <c r="FM374" s="50"/>
      <c r="FN374" s="50"/>
      <c r="FO374" s="50"/>
      <c r="FP374" s="50"/>
      <c r="FQ374" s="50"/>
      <c r="FR374" s="50"/>
      <c r="FS374" s="50"/>
      <c r="FT374" s="50"/>
      <c r="FU374" s="50"/>
    </row>
    <row r="375" spans="1:177" s="103" customFormat="1" ht="21" customHeight="1" x14ac:dyDescent="0.2">
      <c r="A375" s="50"/>
      <c r="B375" s="67">
        <v>10</v>
      </c>
      <c r="C375" s="73" t="s">
        <v>66</v>
      </c>
      <c r="D375" s="67">
        <v>11014</v>
      </c>
      <c r="E375" s="72" t="s">
        <v>526</v>
      </c>
      <c r="F375" s="112" t="s">
        <v>525</v>
      </c>
      <c r="G375" s="123">
        <v>35217</v>
      </c>
      <c r="H375" s="56" t="str">
        <f t="shared" si="506"/>
        <v>28 AÑOS</v>
      </c>
      <c r="I375" s="57">
        <v>4663.8913718766362</v>
      </c>
      <c r="J375" s="58"/>
      <c r="K375" s="58"/>
      <c r="L375" s="59"/>
      <c r="M375" s="60">
        <v>4.0000000000000002E-4</v>
      </c>
      <c r="N375" s="61">
        <f t="shared" si="507"/>
        <v>186.55565487506544</v>
      </c>
      <c r="O375" s="58">
        <f t="shared" si="508"/>
        <v>4850.4470267517017</v>
      </c>
      <c r="P375" s="61">
        <f t="shared" si="509"/>
        <v>9700.8940535034035</v>
      </c>
      <c r="Q375" s="61">
        <f t="shared" si="510"/>
        <v>7275.6705401275522</v>
      </c>
      <c r="R375" s="61">
        <f t="shared" si="511"/>
        <v>2425.2235133758509</v>
      </c>
      <c r="S375" s="61">
        <f t="shared" si="512"/>
        <v>323.36313511678014</v>
      </c>
      <c r="T375" s="58">
        <f t="shared" si="513"/>
        <v>371.18854280055189</v>
      </c>
      <c r="U375" s="61">
        <f t="shared" si="514"/>
        <v>3637.8352700637761</v>
      </c>
      <c r="V375" s="58">
        <f t="shared" si="515"/>
        <v>1212.6117566879254</v>
      </c>
      <c r="W375" s="101">
        <v>7.4999999999999997E-2</v>
      </c>
      <c r="X375" s="63">
        <f t="shared" si="516"/>
        <v>727.56705401275519</v>
      </c>
      <c r="Y375" s="61">
        <v>263.8322187658776</v>
      </c>
      <c r="Z375" s="61">
        <v>0</v>
      </c>
      <c r="AA375" s="61">
        <f t="shared" si="517"/>
        <v>1212.6117566879254</v>
      </c>
      <c r="AB375" s="61">
        <f t="shared" si="518"/>
        <v>242.52235133758509</v>
      </c>
      <c r="AC375" s="61">
        <v>1737.3602406291525</v>
      </c>
      <c r="AD375" s="61">
        <v>921.12292838670953</v>
      </c>
      <c r="AE375" s="61">
        <v>575.34224134085548</v>
      </c>
      <c r="AF375" s="61">
        <v>0</v>
      </c>
      <c r="AG375" s="61">
        <f t="shared" si="519"/>
        <v>334.68084484586745</v>
      </c>
      <c r="AH375" s="64"/>
      <c r="AI375" s="64"/>
      <c r="AJ375" s="67">
        <v>10</v>
      </c>
      <c r="AK375" s="73" t="s">
        <v>66</v>
      </c>
      <c r="AL375" s="67">
        <v>11014</v>
      </c>
      <c r="AM375" s="72" t="s">
        <v>526</v>
      </c>
      <c r="AN375" s="112" t="s">
        <v>525</v>
      </c>
      <c r="AO375" s="138">
        <f>Q375*12</f>
        <v>87308.046481530619</v>
      </c>
      <c r="AP375" s="65">
        <f>R375*12</f>
        <v>29102.682160510209</v>
      </c>
      <c r="AQ375" s="65">
        <f t="shared" si="522"/>
        <v>8730.8046481530619</v>
      </c>
      <c r="AR375" s="65">
        <f t="shared" si="522"/>
        <v>3165.9866251905314</v>
      </c>
      <c r="AS375" s="65">
        <f t="shared" si="522"/>
        <v>0</v>
      </c>
      <c r="AT375" s="65">
        <f t="shared" si="522"/>
        <v>14551.341080255104</v>
      </c>
      <c r="AU375" s="65">
        <f t="shared" si="522"/>
        <v>2910.2682160510212</v>
      </c>
      <c r="AV375" s="65">
        <f t="shared" si="522"/>
        <v>20848.322887549832</v>
      </c>
      <c r="AW375" s="65">
        <f t="shared" si="522"/>
        <v>11053.475140640514</v>
      </c>
      <c r="AX375" s="65">
        <f t="shared" si="522"/>
        <v>6904.1068960902658</v>
      </c>
      <c r="AY375" s="65">
        <f t="shared" si="522"/>
        <v>0</v>
      </c>
      <c r="AZ375" s="65">
        <f t="shared" si="522"/>
        <v>4016.1701381504095</v>
      </c>
      <c r="BA375" s="50"/>
      <c r="BB375" s="64"/>
      <c r="BC375" s="66"/>
      <c r="BD375" s="66"/>
      <c r="BE375" s="66"/>
      <c r="BF375" s="50"/>
      <c r="BG375" s="50"/>
      <c r="BH375" s="50"/>
      <c r="BI375" s="50"/>
      <c r="BJ375" s="50"/>
      <c r="BK375" s="50"/>
      <c r="BL375" s="50"/>
      <c r="BM375" s="50"/>
      <c r="BN375" s="50"/>
      <c r="BO375" s="50"/>
      <c r="BP375" s="50"/>
      <c r="BQ375" s="50"/>
      <c r="BR375" s="50"/>
      <c r="BS375" s="50"/>
      <c r="BT375" s="50"/>
      <c r="BU375" s="50"/>
      <c r="BV375" s="50"/>
      <c r="BW375" s="50"/>
      <c r="BX375" s="50"/>
      <c r="BY375" s="50"/>
      <c r="BZ375" s="50"/>
      <c r="CA375" s="50"/>
      <c r="CB375" s="50"/>
      <c r="CC375" s="50"/>
      <c r="CD375" s="50"/>
      <c r="CE375" s="50"/>
      <c r="CF375" s="50"/>
      <c r="CG375" s="50"/>
      <c r="CH375" s="50"/>
      <c r="CI375" s="50"/>
      <c r="CJ375" s="50"/>
      <c r="CK375" s="50"/>
      <c r="CL375" s="50"/>
      <c r="CM375" s="50"/>
      <c r="CN375" s="50"/>
      <c r="CO375" s="50"/>
      <c r="CP375" s="50"/>
      <c r="CQ375" s="50"/>
      <c r="CR375" s="50"/>
      <c r="CS375" s="50"/>
      <c r="CT375" s="50"/>
      <c r="CU375" s="50"/>
      <c r="CV375" s="50"/>
      <c r="CW375" s="50"/>
      <c r="CX375" s="50"/>
      <c r="CY375" s="50"/>
      <c r="CZ375" s="50"/>
      <c r="DA375" s="50"/>
      <c r="DB375" s="50"/>
      <c r="DC375" s="50"/>
      <c r="DD375" s="50"/>
      <c r="DE375" s="50"/>
      <c r="DF375" s="50"/>
      <c r="DG375" s="50"/>
      <c r="DH375" s="50"/>
      <c r="DI375" s="50"/>
      <c r="DJ375" s="50"/>
      <c r="DK375" s="50"/>
      <c r="DL375" s="50"/>
      <c r="DM375" s="50"/>
      <c r="DN375" s="50"/>
      <c r="DO375" s="50"/>
      <c r="DP375" s="50"/>
      <c r="DQ375" s="50"/>
      <c r="DR375" s="50"/>
      <c r="DS375" s="50"/>
      <c r="DT375" s="50"/>
      <c r="DU375" s="50"/>
      <c r="DV375" s="50"/>
      <c r="DW375" s="50"/>
      <c r="DX375" s="50"/>
      <c r="DY375" s="50"/>
      <c r="DZ375" s="50"/>
      <c r="EA375" s="50"/>
      <c r="EB375" s="50"/>
      <c r="EC375" s="50"/>
      <c r="ED375" s="50"/>
      <c r="EE375" s="50"/>
      <c r="EF375" s="50"/>
      <c r="EG375" s="50"/>
      <c r="EH375" s="50"/>
      <c r="EI375" s="50"/>
      <c r="EJ375" s="50"/>
      <c r="EK375" s="50"/>
      <c r="EL375" s="50"/>
      <c r="EM375" s="50"/>
      <c r="EN375" s="50"/>
      <c r="EO375" s="50"/>
      <c r="EP375" s="50"/>
      <c r="EQ375" s="50"/>
      <c r="ER375" s="50"/>
      <c r="ES375" s="50"/>
      <c r="ET375" s="50"/>
      <c r="EU375" s="50"/>
      <c r="EV375" s="50"/>
      <c r="EW375" s="50"/>
      <c r="EX375" s="50"/>
      <c r="EY375" s="50"/>
      <c r="EZ375" s="50"/>
      <c r="FA375" s="50"/>
      <c r="FB375" s="50"/>
      <c r="FC375" s="50"/>
      <c r="FD375" s="50"/>
      <c r="FE375" s="50"/>
      <c r="FF375" s="50"/>
      <c r="FG375" s="50"/>
      <c r="FH375" s="50"/>
      <c r="FI375" s="50"/>
      <c r="FJ375" s="50"/>
      <c r="FK375" s="50"/>
      <c r="FL375" s="50"/>
      <c r="FM375" s="50"/>
      <c r="FN375" s="50"/>
      <c r="FO375" s="50"/>
      <c r="FP375" s="50"/>
      <c r="FQ375" s="50"/>
      <c r="FR375" s="50"/>
      <c r="FS375" s="50"/>
      <c r="FT375" s="50"/>
      <c r="FU375" s="50"/>
    </row>
    <row r="376" spans="1:177" s="364" customFormat="1" ht="21" customHeight="1" x14ac:dyDescent="0.2">
      <c r="B376" s="365">
        <v>11</v>
      </c>
      <c r="C376" s="372" t="s">
        <v>66</v>
      </c>
      <c r="D376" s="365">
        <v>11171</v>
      </c>
      <c r="E376" s="69" t="s">
        <v>527</v>
      </c>
      <c r="F376" s="364" t="s">
        <v>528</v>
      </c>
      <c r="G376" s="363">
        <v>43475</v>
      </c>
      <c r="H376" s="56" t="str">
        <f t="shared" si="506"/>
        <v>5 AÑOS</v>
      </c>
      <c r="I376" s="57">
        <v>7852.5646503995886</v>
      </c>
      <c r="J376" s="58"/>
      <c r="K376" s="58"/>
      <c r="L376" s="59"/>
      <c r="M376" s="60">
        <v>4.0000000000000002E-4</v>
      </c>
      <c r="N376" s="61">
        <f t="shared" si="507"/>
        <v>314.10258601598355</v>
      </c>
      <c r="O376" s="58">
        <f t="shared" si="508"/>
        <v>8166.667236415572</v>
      </c>
      <c r="P376" s="61">
        <f t="shared" si="509"/>
        <v>16333.334472831144</v>
      </c>
      <c r="Q376" s="61">
        <f t="shared" si="510"/>
        <v>12250.000854623358</v>
      </c>
      <c r="R376" s="61">
        <f t="shared" si="511"/>
        <v>4083.333618207786</v>
      </c>
      <c r="S376" s="61">
        <f t="shared" si="512"/>
        <v>544.44448242770477</v>
      </c>
      <c r="T376" s="58">
        <f t="shared" si="513"/>
        <v>624.96782137876221</v>
      </c>
      <c r="U376" s="61">
        <f t="shared" si="514"/>
        <v>6125.0004273116792</v>
      </c>
      <c r="V376" s="58">
        <f t="shared" si="515"/>
        <v>2041.666809103893</v>
      </c>
      <c r="W376" s="101">
        <v>0</v>
      </c>
      <c r="X376" s="63">
        <f t="shared" si="516"/>
        <v>0</v>
      </c>
      <c r="Y376" s="61">
        <v>1084.9569367397373</v>
      </c>
      <c r="Z376" s="61">
        <v>0</v>
      </c>
      <c r="AA376" s="61">
        <f t="shared" si="517"/>
        <v>2041.6668091038928</v>
      </c>
      <c r="AB376" s="61">
        <f t="shared" si="518"/>
        <v>408.33336182077863</v>
      </c>
      <c r="AC376" s="61">
        <v>2550.2445306659806</v>
      </c>
      <c r="AD376" s="61">
        <v>1638.0719082248047</v>
      </c>
      <c r="AE376" s="61">
        <v>968.70012313708139</v>
      </c>
      <c r="AF376" s="61">
        <v>0</v>
      </c>
      <c r="AG376" s="61">
        <f t="shared" si="519"/>
        <v>563.50003931267452</v>
      </c>
      <c r="AH376" s="64"/>
      <c r="AI376" s="64"/>
      <c r="AJ376" s="365">
        <v>11</v>
      </c>
      <c r="AK376" s="372" t="s">
        <v>66</v>
      </c>
      <c r="AL376" s="365">
        <v>11171</v>
      </c>
      <c r="AM376" s="69" t="s">
        <v>527</v>
      </c>
      <c r="AN376" s="364" t="s">
        <v>528</v>
      </c>
      <c r="AO376" s="368">
        <f t="shared" ref="AO376:AP376" si="523">Q376*3</f>
        <v>36750.002563870075</v>
      </c>
      <c r="AP376" s="368">
        <f t="shared" si="523"/>
        <v>12250.000854623358</v>
      </c>
      <c r="AQ376" s="368">
        <f t="shared" ref="AQ376:AZ376" si="524">X376*3</f>
        <v>0</v>
      </c>
      <c r="AR376" s="368">
        <f t="shared" si="524"/>
        <v>3254.8708102192122</v>
      </c>
      <c r="AS376" s="368">
        <f t="shared" si="524"/>
        <v>0</v>
      </c>
      <c r="AT376" s="368">
        <f t="shared" si="524"/>
        <v>6125.0004273116783</v>
      </c>
      <c r="AU376" s="368">
        <f t="shared" si="524"/>
        <v>1225.0000854623358</v>
      </c>
      <c r="AV376" s="368">
        <f t="shared" si="524"/>
        <v>7650.7335919979414</v>
      </c>
      <c r="AW376" s="368">
        <f t="shared" si="524"/>
        <v>4914.2157246744137</v>
      </c>
      <c r="AX376" s="368">
        <f t="shared" si="524"/>
        <v>2906.1003694112442</v>
      </c>
      <c r="AY376" s="368">
        <f t="shared" si="524"/>
        <v>0</v>
      </c>
      <c r="AZ376" s="368">
        <f t="shared" si="524"/>
        <v>1690.5001179380235</v>
      </c>
      <c r="BB376" s="64"/>
      <c r="BC376" s="66"/>
      <c r="BD376" s="66"/>
      <c r="BE376" s="66"/>
    </row>
    <row r="377" spans="1:177" ht="21" customHeight="1" x14ac:dyDescent="0.2">
      <c r="B377" s="67">
        <v>12</v>
      </c>
      <c r="C377" s="73" t="s">
        <v>66</v>
      </c>
      <c r="D377" s="67">
        <v>16491</v>
      </c>
      <c r="E377" s="72" t="s">
        <v>529</v>
      </c>
      <c r="F377" s="72" t="s">
        <v>530</v>
      </c>
      <c r="G377" s="123">
        <v>44774</v>
      </c>
      <c r="H377" s="56" t="str">
        <f t="shared" si="506"/>
        <v>2 AÑOS</v>
      </c>
      <c r="I377" s="57">
        <v>3572.1629553080488</v>
      </c>
      <c r="J377" s="58"/>
      <c r="K377" s="58"/>
      <c r="L377" s="59"/>
      <c r="M377" s="60">
        <v>4.0000000000000002E-4</v>
      </c>
      <c r="N377" s="61">
        <f t="shared" si="507"/>
        <v>142.88651821232196</v>
      </c>
      <c r="O377" s="58">
        <f t="shared" si="508"/>
        <v>3715.0494735203706</v>
      </c>
      <c r="P377" s="61">
        <f t="shared" si="509"/>
        <v>7430.0989470407412</v>
      </c>
      <c r="Q377" s="61">
        <f t="shared" si="510"/>
        <v>5572.5742102805561</v>
      </c>
      <c r="R377" s="61">
        <f t="shared" si="511"/>
        <v>1857.5247367601853</v>
      </c>
      <c r="S377" s="61">
        <f t="shared" si="512"/>
        <v>247.66996490135804</v>
      </c>
      <c r="T377" s="58">
        <f t="shared" si="513"/>
        <v>284.3003527102689</v>
      </c>
      <c r="U377" s="61">
        <f t="shared" si="514"/>
        <v>2786.2871051402781</v>
      </c>
      <c r="V377" s="58">
        <f t="shared" si="515"/>
        <v>928.76236838009265</v>
      </c>
      <c r="W377" s="101">
        <v>0</v>
      </c>
      <c r="X377" s="63">
        <f t="shared" si="516"/>
        <v>0</v>
      </c>
      <c r="Y377" s="61">
        <v>32.926669457955597</v>
      </c>
      <c r="Z377" s="61">
        <v>0</v>
      </c>
      <c r="AA377" s="61">
        <f t="shared" si="517"/>
        <v>928.76236838009265</v>
      </c>
      <c r="AB377" s="61">
        <f t="shared" si="518"/>
        <v>185.75247367601852</v>
      </c>
      <c r="AC377" s="61">
        <v>1482.0553855513838</v>
      </c>
      <c r="AD377" s="61">
        <v>679.94693855951471</v>
      </c>
      <c r="AE377" s="61">
        <v>440.66554670091682</v>
      </c>
      <c r="AF377" s="61">
        <v>0</v>
      </c>
      <c r="AG377" s="61">
        <f t="shared" si="519"/>
        <v>256.33841367290557</v>
      </c>
      <c r="AH377" s="64"/>
      <c r="AI377" s="64"/>
      <c r="AJ377" s="67">
        <v>12</v>
      </c>
      <c r="AK377" s="73" t="s">
        <v>66</v>
      </c>
      <c r="AL377" s="67">
        <v>16491</v>
      </c>
      <c r="AM377" s="72" t="s">
        <v>529</v>
      </c>
      <c r="AN377" s="72" t="s">
        <v>530</v>
      </c>
      <c r="AO377" s="138">
        <f t="shared" ref="AO377:AP381" si="525">Q377*12</f>
        <v>66870.890523366674</v>
      </c>
      <c r="AP377" s="65">
        <f t="shared" si="525"/>
        <v>22290.296841122225</v>
      </c>
      <c r="AQ377" s="65">
        <f t="shared" ref="AQ377:AZ381" si="526">X377*12</f>
        <v>0</v>
      </c>
      <c r="AR377" s="65">
        <f t="shared" si="526"/>
        <v>395.12003349546717</v>
      </c>
      <c r="AS377" s="65">
        <f t="shared" si="526"/>
        <v>0</v>
      </c>
      <c r="AT377" s="65">
        <f t="shared" si="526"/>
        <v>11145.148420561112</v>
      </c>
      <c r="AU377" s="65">
        <f t="shared" si="526"/>
        <v>2229.0296841122222</v>
      </c>
      <c r="AV377" s="65">
        <f t="shared" si="526"/>
        <v>17784.664626616606</v>
      </c>
      <c r="AW377" s="65">
        <f t="shared" si="526"/>
        <v>8159.363262714176</v>
      </c>
      <c r="AX377" s="65">
        <f t="shared" si="526"/>
        <v>5287.9865604110018</v>
      </c>
      <c r="AY377" s="65">
        <f t="shared" si="526"/>
        <v>0</v>
      </c>
      <c r="AZ377" s="65">
        <f t="shared" si="526"/>
        <v>3076.0609640748671</v>
      </c>
      <c r="BB377" s="64"/>
      <c r="BC377" s="66"/>
      <c r="BD377" s="66"/>
      <c r="BE377" s="66"/>
    </row>
    <row r="378" spans="1:177" ht="21" customHeight="1" x14ac:dyDescent="0.2">
      <c r="B378" s="67">
        <v>13</v>
      </c>
      <c r="C378" s="73" t="s">
        <v>66</v>
      </c>
      <c r="D378" s="67">
        <v>22015</v>
      </c>
      <c r="E378" s="69" t="s">
        <v>531</v>
      </c>
      <c r="F378" s="72" t="s">
        <v>530</v>
      </c>
      <c r="G378" s="178">
        <v>43481</v>
      </c>
      <c r="H378" s="56" t="str">
        <f t="shared" si="506"/>
        <v>5 AÑOS</v>
      </c>
      <c r="I378" s="57">
        <v>3572.1629553080488</v>
      </c>
      <c r="J378" s="58"/>
      <c r="K378" s="58"/>
      <c r="L378" s="59"/>
      <c r="M378" s="60">
        <v>4.0000000000000002E-4</v>
      </c>
      <c r="N378" s="61">
        <f t="shared" si="507"/>
        <v>142.88651821232196</v>
      </c>
      <c r="O378" s="58">
        <f t="shared" si="508"/>
        <v>3715.0494735203706</v>
      </c>
      <c r="P378" s="61">
        <f t="shared" si="509"/>
        <v>7430.0989470407412</v>
      </c>
      <c r="Q378" s="61">
        <f t="shared" si="510"/>
        <v>5572.5742102805561</v>
      </c>
      <c r="R378" s="61">
        <f t="shared" si="511"/>
        <v>1857.5247367601853</v>
      </c>
      <c r="S378" s="61">
        <f t="shared" si="512"/>
        <v>247.66996490135804</v>
      </c>
      <c r="T378" s="58">
        <f t="shared" si="513"/>
        <v>284.3003527102689</v>
      </c>
      <c r="U378" s="61">
        <f t="shared" si="514"/>
        <v>2786.2871051402781</v>
      </c>
      <c r="V378" s="58">
        <f t="shared" si="515"/>
        <v>928.76236838009265</v>
      </c>
      <c r="W378" s="101">
        <v>2.5000000000000001E-2</v>
      </c>
      <c r="X378" s="63">
        <f t="shared" si="516"/>
        <v>185.75247367601855</v>
      </c>
      <c r="Y378" s="61">
        <v>32.926669457955597</v>
      </c>
      <c r="Z378" s="61">
        <v>0</v>
      </c>
      <c r="AA378" s="61">
        <f t="shared" si="517"/>
        <v>928.76236838009265</v>
      </c>
      <c r="AB378" s="61">
        <f t="shared" si="518"/>
        <v>185.75247367601852</v>
      </c>
      <c r="AC378" s="61">
        <v>1482.0553855513838</v>
      </c>
      <c r="AD378" s="61">
        <v>679.94693855951471</v>
      </c>
      <c r="AE378" s="61">
        <v>440.66554670091682</v>
      </c>
      <c r="AF378" s="61">
        <v>0</v>
      </c>
      <c r="AG378" s="61">
        <f t="shared" si="519"/>
        <v>256.33841367290557</v>
      </c>
      <c r="AH378" s="64"/>
      <c r="AI378" s="64"/>
      <c r="AJ378" s="67">
        <v>13</v>
      </c>
      <c r="AK378" s="73" t="s">
        <v>66</v>
      </c>
      <c r="AL378" s="67">
        <v>22015</v>
      </c>
      <c r="AM378" s="69" t="s">
        <v>531</v>
      </c>
      <c r="AN378" s="72" t="s">
        <v>530</v>
      </c>
      <c r="AO378" s="138">
        <f t="shared" si="525"/>
        <v>66870.890523366674</v>
      </c>
      <c r="AP378" s="65">
        <f t="shared" si="525"/>
        <v>22290.296841122225</v>
      </c>
      <c r="AQ378" s="65">
        <f t="shared" si="526"/>
        <v>2229.0296841122226</v>
      </c>
      <c r="AR378" s="65">
        <f t="shared" si="526"/>
        <v>395.12003349546717</v>
      </c>
      <c r="AS378" s="65">
        <f t="shared" si="526"/>
        <v>0</v>
      </c>
      <c r="AT378" s="65">
        <f t="shared" si="526"/>
        <v>11145.148420561112</v>
      </c>
      <c r="AU378" s="65">
        <f t="shared" si="526"/>
        <v>2229.0296841122222</v>
      </c>
      <c r="AV378" s="65">
        <f t="shared" si="526"/>
        <v>17784.664626616606</v>
      </c>
      <c r="AW378" s="65">
        <f t="shared" si="526"/>
        <v>8159.363262714176</v>
      </c>
      <c r="AX378" s="65">
        <f t="shared" si="526"/>
        <v>5287.9865604110018</v>
      </c>
      <c r="AY378" s="65">
        <f t="shared" si="526"/>
        <v>0</v>
      </c>
      <c r="AZ378" s="65">
        <f t="shared" si="526"/>
        <v>3076.0609640748671</v>
      </c>
      <c r="BB378" s="64"/>
      <c r="BC378" s="66"/>
      <c r="BD378" s="66"/>
      <c r="BE378" s="66"/>
    </row>
    <row r="379" spans="1:177" ht="21" customHeight="1" x14ac:dyDescent="0.2">
      <c r="B379" s="67">
        <v>14</v>
      </c>
      <c r="C379" s="73" t="s">
        <v>66</v>
      </c>
      <c r="D379" s="67">
        <v>22027</v>
      </c>
      <c r="E379" s="72" t="s">
        <v>532</v>
      </c>
      <c r="F379" s="72" t="s">
        <v>530</v>
      </c>
      <c r="G379" s="123">
        <v>44621</v>
      </c>
      <c r="H379" s="56" t="str">
        <f t="shared" si="506"/>
        <v>2 AÑOS</v>
      </c>
      <c r="I379" s="57">
        <v>3572.1629553080488</v>
      </c>
      <c r="J379" s="58"/>
      <c r="K379" s="58"/>
      <c r="L379" s="59"/>
      <c r="M379" s="60">
        <v>4.0000000000000002E-4</v>
      </c>
      <c r="N379" s="61">
        <f t="shared" si="507"/>
        <v>142.88651821232196</v>
      </c>
      <c r="O379" s="58">
        <f t="shared" si="508"/>
        <v>3715.0494735203706</v>
      </c>
      <c r="P379" s="61">
        <f t="shared" si="509"/>
        <v>7430.0989470407412</v>
      </c>
      <c r="Q379" s="61">
        <f t="shared" si="510"/>
        <v>5572.5742102805561</v>
      </c>
      <c r="R379" s="61">
        <f t="shared" si="511"/>
        <v>1857.5247367601853</v>
      </c>
      <c r="S379" s="61">
        <f t="shared" si="512"/>
        <v>247.66996490135804</v>
      </c>
      <c r="T379" s="58">
        <f t="shared" si="513"/>
        <v>284.3003527102689</v>
      </c>
      <c r="U379" s="61">
        <f t="shared" si="514"/>
        <v>2786.2871051402781</v>
      </c>
      <c r="V379" s="58">
        <f t="shared" si="515"/>
        <v>928.76236838009265</v>
      </c>
      <c r="W379" s="101">
        <v>0</v>
      </c>
      <c r="X379" s="63">
        <f t="shared" si="516"/>
        <v>0</v>
      </c>
      <c r="Y379" s="61">
        <v>32.926669457955597</v>
      </c>
      <c r="Z379" s="61">
        <v>0</v>
      </c>
      <c r="AA379" s="61">
        <f t="shared" si="517"/>
        <v>928.76236838009265</v>
      </c>
      <c r="AB379" s="61">
        <f t="shared" si="518"/>
        <v>185.75247367601852</v>
      </c>
      <c r="AC379" s="61">
        <v>1482.0553855513838</v>
      </c>
      <c r="AD379" s="61">
        <v>679.94693855951471</v>
      </c>
      <c r="AE379" s="61">
        <v>440.66554670091682</v>
      </c>
      <c r="AF379" s="61">
        <v>0</v>
      </c>
      <c r="AG379" s="61">
        <f t="shared" si="519"/>
        <v>256.33841367290557</v>
      </c>
      <c r="AH379" s="64"/>
      <c r="AI379" s="64"/>
      <c r="AJ379" s="67">
        <v>14</v>
      </c>
      <c r="AK379" s="73" t="s">
        <v>66</v>
      </c>
      <c r="AL379" s="67">
        <v>22027</v>
      </c>
      <c r="AM379" s="72" t="s">
        <v>532</v>
      </c>
      <c r="AN379" s="72" t="s">
        <v>530</v>
      </c>
      <c r="AO379" s="138">
        <f t="shared" si="525"/>
        <v>66870.890523366674</v>
      </c>
      <c r="AP379" s="65">
        <f t="shared" si="525"/>
        <v>22290.296841122225</v>
      </c>
      <c r="AQ379" s="65">
        <f t="shared" si="526"/>
        <v>0</v>
      </c>
      <c r="AR379" s="65">
        <f t="shared" si="526"/>
        <v>395.12003349546717</v>
      </c>
      <c r="AS379" s="65">
        <f t="shared" si="526"/>
        <v>0</v>
      </c>
      <c r="AT379" s="65">
        <f t="shared" si="526"/>
        <v>11145.148420561112</v>
      </c>
      <c r="AU379" s="65">
        <f t="shared" si="526"/>
        <v>2229.0296841122222</v>
      </c>
      <c r="AV379" s="65">
        <f t="shared" si="526"/>
        <v>17784.664626616606</v>
      </c>
      <c r="AW379" s="65">
        <f t="shared" si="526"/>
        <v>8159.363262714176</v>
      </c>
      <c r="AX379" s="65">
        <f t="shared" si="526"/>
        <v>5287.9865604110018</v>
      </c>
      <c r="AY379" s="65">
        <f t="shared" si="526"/>
        <v>0</v>
      </c>
      <c r="AZ379" s="65">
        <f t="shared" si="526"/>
        <v>3076.0609640748671</v>
      </c>
      <c r="BB379" s="64"/>
      <c r="BC379" s="66"/>
      <c r="BD379" s="66"/>
      <c r="BE379" s="66"/>
    </row>
    <row r="380" spans="1:177" ht="21" customHeight="1" x14ac:dyDescent="0.2">
      <c r="B380" s="67">
        <v>15</v>
      </c>
      <c r="C380" s="73" t="s">
        <v>66</v>
      </c>
      <c r="D380" s="67">
        <v>22030</v>
      </c>
      <c r="E380" s="73" t="s">
        <v>533</v>
      </c>
      <c r="F380" s="72" t="s">
        <v>530</v>
      </c>
      <c r="G380" s="123">
        <v>44973</v>
      </c>
      <c r="H380" s="56" t="str">
        <f t="shared" si="506"/>
        <v>1 AÑOS</v>
      </c>
      <c r="I380" s="57">
        <v>3572.1629553080488</v>
      </c>
      <c r="J380" s="58"/>
      <c r="K380" s="58"/>
      <c r="L380" s="59"/>
      <c r="M380" s="60">
        <v>4.0000000000000002E-4</v>
      </c>
      <c r="N380" s="61">
        <f t="shared" si="507"/>
        <v>142.88651821232196</v>
      </c>
      <c r="O380" s="58">
        <f t="shared" si="508"/>
        <v>3715.0494735203706</v>
      </c>
      <c r="P380" s="61">
        <f t="shared" si="509"/>
        <v>7430.0989470407412</v>
      </c>
      <c r="Q380" s="61">
        <f t="shared" si="510"/>
        <v>5572.5742102805561</v>
      </c>
      <c r="R380" s="61">
        <f t="shared" si="511"/>
        <v>1857.5247367601853</v>
      </c>
      <c r="S380" s="61">
        <f t="shared" si="512"/>
        <v>247.66996490135804</v>
      </c>
      <c r="T380" s="58">
        <f t="shared" si="513"/>
        <v>284.3003527102689</v>
      </c>
      <c r="U380" s="61">
        <f t="shared" si="514"/>
        <v>2786.2871051402781</v>
      </c>
      <c r="V380" s="58">
        <f t="shared" si="515"/>
        <v>928.76236838009265</v>
      </c>
      <c r="W380" s="101">
        <v>0</v>
      </c>
      <c r="X380" s="63">
        <f t="shared" si="516"/>
        <v>0</v>
      </c>
      <c r="Y380" s="61">
        <v>32.926669457955597</v>
      </c>
      <c r="Z380" s="61">
        <v>0</v>
      </c>
      <c r="AA380" s="61">
        <f t="shared" si="517"/>
        <v>928.76236838009265</v>
      </c>
      <c r="AB380" s="61">
        <f t="shared" si="518"/>
        <v>185.75247367601852</v>
      </c>
      <c r="AC380" s="61">
        <v>1482.0553855513838</v>
      </c>
      <c r="AD380" s="61">
        <v>679.94693855951471</v>
      </c>
      <c r="AE380" s="61">
        <v>440.66554670091682</v>
      </c>
      <c r="AF380" s="61">
        <v>0</v>
      </c>
      <c r="AG380" s="61">
        <f t="shared" si="519"/>
        <v>256.33841367290557</v>
      </c>
      <c r="AH380" s="64"/>
      <c r="AI380" s="64"/>
      <c r="AJ380" s="67">
        <v>15</v>
      </c>
      <c r="AK380" s="73" t="s">
        <v>66</v>
      </c>
      <c r="AL380" s="67">
        <v>22030</v>
      </c>
      <c r="AM380" s="73" t="s">
        <v>533</v>
      </c>
      <c r="AN380" s="72" t="s">
        <v>530</v>
      </c>
      <c r="AO380" s="138">
        <f t="shared" si="525"/>
        <v>66870.890523366674</v>
      </c>
      <c r="AP380" s="65">
        <f t="shared" si="525"/>
        <v>22290.296841122225</v>
      </c>
      <c r="AQ380" s="65">
        <f t="shared" si="526"/>
        <v>0</v>
      </c>
      <c r="AR380" s="65">
        <f t="shared" si="526"/>
        <v>395.12003349546717</v>
      </c>
      <c r="AS380" s="65">
        <f t="shared" si="526"/>
        <v>0</v>
      </c>
      <c r="AT380" s="65">
        <f t="shared" si="526"/>
        <v>11145.148420561112</v>
      </c>
      <c r="AU380" s="65">
        <f t="shared" si="526"/>
        <v>2229.0296841122222</v>
      </c>
      <c r="AV380" s="65">
        <f t="shared" si="526"/>
        <v>17784.664626616606</v>
      </c>
      <c r="AW380" s="65">
        <f t="shared" si="526"/>
        <v>8159.363262714176</v>
      </c>
      <c r="AX380" s="65">
        <f t="shared" si="526"/>
        <v>5287.9865604110018</v>
      </c>
      <c r="AY380" s="65">
        <f t="shared" si="526"/>
        <v>0</v>
      </c>
      <c r="AZ380" s="65">
        <f t="shared" si="526"/>
        <v>3076.0609640748671</v>
      </c>
      <c r="BB380" s="64"/>
      <c r="BC380" s="66"/>
      <c r="BD380" s="66"/>
      <c r="BE380" s="66"/>
    </row>
    <row r="381" spans="1:177" ht="21" customHeight="1" x14ac:dyDescent="0.2">
      <c r="B381" s="67">
        <v>16</v>
      </c>
      <c r="C381" s="73" t="s">
        <v>66</v>
      </c>
      <c r="D381" s="67">
        <v>22032</v>
      </c>
      <c r="E381" s="73" t="s">
        <v>534</v>
      </c>
      <c r="F381" s="72" t="s">
        <v>530</v>
      </c>
      <c r="G381" s="123">
        <v>41579</v>
      </c>
      <c r="H381" s="56" t="str">
        <f t="shared" si="506"/>
        <v>11 AÑOS</v>
      </c>
      <c r="I381" s="57">
        <v>3573.3913067960539</v>
      </c>
      <c r="J381" s="58"/>
      <c r="K381" s="58"/>
      <c r="L381" s="59"/>
      <c r="M381" s="60">
        <v>4.0000000000000002E-4</v>
      </c>
      <c r="N381" s="61">
        <f t="shared" si="507"/>
        <v>142.93565227184214</v>
      </c>
      <c r="O381" s="58">
        <f t="shared" si="508"/>
        <v>3716.326959067896</v>
      </c>
      <c r="P381" s="61">
        <f t="shared" si="509"/>
        <v>7432.6539181357921</v>
      </c>
      <c r="Q381" s="61">
        <f t="shared" si="510"/>
        <v>5574.4904386018443</v>
      </c>
      <c r="R381" s="61">
        <f t="shared" si="511"/>
        <v>1858.163479533948</v>
      </c>
      <c r="S381" s="61">
        <f t="shared" si="512"/>
        <v>247.75513060452641</v>
      </c>
      <c r="T381" s="58">
        <f t="shared" si="513"/>
        <v>284.39811442093583</v>
      </c>
      <c r="U381" s="61">
        <f t="shared" si="514"/>
        <v>2787.2452193009221</v>
      </c>
      <c r="V381" s="58">
        <f t="shared" si="515"/>
        <v>929.08173976697401</v>
      </c>
      <c r="W381" s="101">
        <v>0.05</v>
      </c>
      <c r="X381" s="63">
        <f t="shared" si="516"/>
        <v>371.63269590678965</v>
      </c>
      <c r="Y381" s="61">
        <v>33.049308070518066</v>
      </c>
      <c r="Z381" s="61">
        <v>0</v>
      </c>
      <c r="AA381" s="61">
        <f t="shared" si="517"/>
        <v>929.08173976697401</v>
      </c>
      <c r="AB381" s="61">
        <f t="shared" si="518"/>
        <v>185.81634795339482</v>
      </c>
      <c r="AC381" s="61">
        <v>1482.323068387115</v>
      </c>
      <c r="AD381" s="61">
        <v>680.18075035483116</v>
      </c>
      <c r="AE381" s="61">
        <v>440.81707735245055</v>
      </c>
      <c r="AF381" s="61">
        <v>0</v>
      </c>
      <c r="AG381" s="61">
        <f t="shared" si="519"/>
        <v>256.42656017568476</v>
      </c>
      <c r="AH381" s="64"/>
      <c r="AI381" s="64"/>
      <c r="AJ381" s="67">
        <v>16</v>
      </c>
      <c r="AK381" s="73" t="s">
        <v>66</v>
      </c>
      <c r="AL381" s="67">
        <v>22032</v>
      </c>
      <c r="AM381" s="73" t="s">
        <v>534</v>
      </c>
      <c r="AN381" s="72" t="s">
        <v>530</v>
      </c>
      <c r="AO381" s="138">
        <f t="shared" si="525"/>
        <v>66893.885263222124</v>
      </c>
      <c r="AP381" s="65">
        <f t="shared" si="525"/>
        <v>22297.961754407377</v>
      </c>
      <c r="AQ381" s="65">
        <f t="shared" si="526"/>
        <v>4459.5923508814758</v>
      </c>
      <c r="AR381" s="65">
        <f t="shared" si="526"/>
        <v>396.59169684621679</v>
      </c>
      <c r="AS381" s="65">
        <f t="shared" si="526"/>
        <v>0</v>
      </c>
      <c r="AT381" s="65">
        <f t="shared" si="526"/>
        <v>11148.980877203689</v>
      </c>
      <c r="AU381" s="65">
        <f t="shared" si="526"/>
        <v>2229.7961754407379</v>
      </c>
      <c r="AV381" s="65">
        <f t="shared" si="526"/>
        <v>17787.876820645379</v>
      </c>
      <c r="AW381" s="65">
        <f t="shared" si="526"/>
        <v>8162.1690042579739</v>
      </c>
      <c r="AX381" s="65">
        <f t="shared" si="526"/>
        <v>5289.8049282294069</v>
      </c>
      <c r="AY381" s="65">
        <f t="shared" si="526"/>
        <v>0</v>
      </c>
      <c r="AZ381" s="65">
        <f t="shared" si="526"/>
        <v>3077.1187221082173</v>
      </c>
      <c r="BB381" s="64"/>
      <c r="BC381" s="66"/>
      <c r="BD381" s="66"/>
      <c r="BE381" s="66"/>
    </row>
    <row r="382" spans="1:177" s="364" customFormat="1" ht="21" customHeight="1" x14ac:dyDescent="0.2">
      <c r="B382" s="365">
        <v>17</v>
      </c>
      <c r="C382" s="372" t="s">
        <v>66</v>
      </c>
      <c r="D382" s="365">
        <v>11093</v>
      </c>
      <c r="E382" s="375" t="s">
        <v>55</v>
      </c>
      <c r="F382" s="371" t="s">
        <v>535</v>
      </c>
      <c r="G382" s="363">
        <v>38580</v>
      </c>
      <c r="H382" s="56" t="str">
        <f t="shared" si="506"/>
        <v>19 AÑOS</v>
      </c>
      <c r="I382" s="57">
        <v>4483.4906083967999</v>
      </c>
      <c r="J382" s="58"/>
      <c r="K382" s="58"/>
      <c r="L382" s="59"/>
      <c r="M382" s="60">
        <v>4.0000000000000002E-4</v>
      </c>
      <c r="N382" s="61">
        <f t="shared" si="507"/>
        <v>179.339624335872</v>
      </c>
      <c r="O382" s="58">
        <f t="shared" si="508"/>
        <v>4662.8302327326719</v>
      </c>
      <c r="P382" s="61">
        <f t="shared" si="509"/>
        <v>9325.6604654653438</v>
      </c>
      <c r="Q382" s="61">
        <f t="shared" si="510"/>
        <v>6994.2453490990083</v>
      </c>
      <c r="R382" s="61">
        <f t="shared" si="511"/>
        <v>2331.415116366336</v>
      </c>
      <c r="S382" s="61">
        <f t="shared" si="512"/>
        <v>310.85534884884481</v>
      </c>
      <c r="T382" s="58">
        <f t="shared" si="513"/>
        <v>356.83085494358892</v>
      </c>
      <c r="U382" s="61">
        <f t="shared" si="514"/>
        <v>3497.1226745495042</v>
      </c>
      <c r="V382" s="58">
        <f t="shared" si="515"/>
        <v>1165.707558183168</v>
      </c>
      <c r="W382" s="101">
        <v>7.4999999999999997E-2</v>
      </c>
      <c r="X382" s="63">
        <f t="shared" si="516"/>
        <v>699.42453490990079</v>
      </c>
      <c r="Y382" s="61">
        <v>197.81315798197204</v>
      </c>
      <c r="Z382" s="61">
        <v>0</v>
      </c>
      <c r="AA382" s="61">
        <f t="shared" si="517"/>
        <v>1165.707558183168</v>
      </c>
      <c r="AB382" s="61">
        <f t="shared" si="518"/>
        <v>233.14151163663362</v>
      </c>
      <c r="AC382" s="61">
        <v>1691.3709109818901</v>
      </c>
      <c r="AD382" s="61">
        <v>872.21950028136166</v>
      </c>
      <c r="AE382" s="61">
        <v>553.08782516256281</v>
      </c>
      <c r="AF382" s="61">
        <v>0</v>
      </c>
      <c r="AG382" s="61">
        <f t="shared" si="519"/>
        <v>321.73528605855438</v>
      </c>
      <c r="AH382" s="64"/>
      <c r="AI382" s="64"/>
      <c r="AJ382" s="365">
        <v>17</v>
      </c>
      <c r="AK382" s="372" t="s">
        <v>66</v>
      </c>
      <c r="AL382" s="365">
        <v>11093</v>
      </c>
      <c r="AM382" s="375" t="s">
        <v>55</v>
      </c>
      <c r="AN382" s="371" t="s">
        <v>535</v>
      </c>
      <c r="AO382" s="401">
        <f>Q382*6</f>
        <v>41965.47209459405</v>
      </c>
      <c r="AP382" s="368">
        <f>R382*6</f>
        <v>13988.490698198017</v>
      </c>
      <c r="AQ382" s="368">
        <f t="shared" ref="AQ382:AZ382" si="527">X382*6</f>
        <v>4196.5472094594043</v>
      </c>
      <c r="AR382" s="368">
        <f t="shared" si="527"/>
        <v>1186.8789478918322</v>
      </c>
      <c r="AS382" s="368">
        <f t="shared" si="527"/>
        <v>0</v>
      </c>
      <c r="AT382" s="368">
        <f t="shared" si="527"/>
        <v>6994.2453490990083</v>
      </c>
      <c r="AU382" s="368">
        <f t="shared" si="527"/>
        <v>1398.8490698198018</v>
      </c>
      <c r="AV382" s="368">
        <f t="shared" si="527"/>
        <v>10148.225465891341</v>
      </c>
      <c r="AW382" s="368">
        <f t="shared" si="527"/>
        <v>5233.3170016881704</v>
      </c>
      <c r="AX382" s="368">
        <f t="shared" si="527"/>
        <v>3318.5269509753771</v>
      </c>
      <c r="AY382" s="368">
        <f t="shared" si="527"/>
        <v>0</v>
      </c>
      <c r="AZ382" s="368">
        <f t="shared" si="527"/>
        <v>1930.4117163513263</v>
      </c>
      <c r="BB382" s="64"/>
      <c r="BC382" s="66"/>
      <c r="BD382" s="66"/>
      <c r="BE382" s="66"/>
    </row>
    <row r="383" spans="1:177" s="364" customFormat="1" ht="21" customHeight="1" x14ac:dyDescent="0.2">
      <c r="B383" s="365">
        <v>18</v>
      </c>
      <c r="C383" s="372" t="s">
        <v>66</v>
      </c>
      <c r="D383" s="365"/>
      <c r="E383" s="375" t="s">
        <v>536</v>
      </c>
      <c r="F383" s="371" t="s">
        <v>537</v>
      </c>
      <c r="G383" s="363">
        <v>44682</v>
      </c>
      <c r="H383" s="56" t="str">
        <f t="shared" si="506"/>
        <v>2 AÑOS</v>
      </c>
      <c r="I383" s="57">
        <v>3487.1564333678789</v>
      </c>
      <c r="J383" s="58">
        <v>4492.8</v>
      </c>
      <c r="K383" s="172">
        <f>J383-I383</f>
        <v>1005.6435666321213</v>
      </c>
      <c r="L383" s="173">
        <f>K383*100/I383</f>
        <v>28.838498812652219</v>
      </c>
      <c r="M383" s="60">
        <v>2.8809999999999999E-3</v>
      </c>
      <c r="N383" s="61">
        <f>I383*0.288385</f>
        <v>1005.6436080367957</v>
      </c>
      <c r="O383" s="58">
        <f t="shared" si="508"/>
        <v>4492.8000414046746</v>
      </c>
      <c r="P383" s="61">
        <f t="shared" si="509"/>
        <v>8985.6000828093493</v>
      </c>
      <c r="Q383" s="61">
        <f t="shared" si="510"/>
        <v>6739.2000621070119</v>
      </c>
      <c r="R383" s="61">
        <f t="shared" si="511"/>
        <v>2246.4000207023373</v>
      </c>
      <c r="S383" s="61">
        <f t="shared" si="512"/>
        <v>299.52000276031163</v>
      </c>
      <c r="T383" s="58">
        <f t="shared" si="513"/>
        <v>343.8190111685617</v>
      </c>
      <c r="U383" s="61">
        <f t="shared" si="514"/>
        <v>3369.600031053506</v>
      </c>
      <c r="V383" s="58">
        <f t="shared" si="515"/>
        <v>1123.2000103511687</v>
      </c>
      <c r="W383" s="101">
        <v>0</v>
      </c>
      <c r="X383" s="63">
        <f t="shared" si="516"/>
        <v>0</v>
      </c>
      <c r="Y383" s="61">
        <v>170.06</v>
      </c>
      <c r="Z383" s="61">
        <v>0</v>
      </c>
      <c r="AA383" s="61">
        <f t="shared" si="517"/>
        <v>1123.2000103511687</v>
      </c>
      <c r="AB383" s="61">
        <f t="shared" si="518"/>
        <v>224.64000207023375</v>
      </c>
      <c r="AC383" s="61">
        <v>1649.6924649556224</v>
      </c>
      <c r="AD383" s="61">
        <v>840.41399220480014</v>
      </c>
      <c r="AE383" s="61">
        <v>532.91946240000004</v>
      </c>
      <c r="AF383" s="61">
        <v>0</v>
      </c>
      <c r="AG383" s="61">
        <f t="shared" si="519"/>
        <v>310.00320285692254</v>
      </c>
      <c r="AH383" s="64"/>
      <c r="AI383" s="64"/>
      <c r="AJ383" s="365">
        <v>18</v>
      </c>
      <c r="AK383" s="372" t="s">
        <v>66</v>
      </c>
      <c r="AL383" s="365"/>
      <c r="AM383" s="375" t="s">
        <v>536</v>
      </c>
      <c r="AN383" s="371" t="s">
        <v>537</v>
      </c>
      <c r="AO383" s="401">
        <f>Q383*7.5</f>
        <v>50544.000465802586</v>
      </c>
      <c r="AP383" s="368">
        <f>R383*7.5</f>
        <v>16848.000155267531</v>
      </c>
      <c r="AQ383" s="368">
        <f t="shared" ref="AQ383:AZ383" si="528">X383*7.5</f>
        <v>0</v>
      </c>
      <c r="AR383" s="368">
        <f t="shared" si="528"/>
        <v>1275.45</v>
      </c>
      <c r="AS383" s="368">
        <f t="shared" si="528"/>
        <v>0</v>
      </c>
      <c r="AT383" s="368">
        <f t="shared" si="528"/>
        <v>8424.0000776337656</v>
      </c>
      <c r="AU383" s="368">
        <f t="shared" si="528"/>
        <v>1684.8000155267532</v>
      </c>
      <c r="AV383" s="368">
        <f t="shared" si="528"/>
        <v>12372.693487167167</v>
      </c>
      <c r="AW383" s="368">
        <f t="shared" si="528"/>
        <v>6303.1049415360012</v>
      </c>
      <c r="AX383" s="368">
        <f t="shared" si="528"/>
        <v>3996.8959680000003</v>
      </c>
      <c r="AY383" s="368">
        <f t="shared" si="528"/>
        <v>0</v>
      </c>
      <c r="AZ383" s="368">
        <f t="shared" si="528"/>
        <v>2325.0240214269193</v>
      </c>
      <c r="BB383" s="64"/>
      <c r="BC383" s="66"/>
      <c r="BD383" s="66"/>
      <c r="BE383" s="66"/>
    </row>
    <row r="384" spans="1:177" s="364" customFormat="1" ht="21" customHeight="1" x14ac:dyDescent="0.2">
      <c r="B384" s="365">
        <v>19</v>
      </c>
      <c r="C384" s="416" t="s">
        <v>66</v>
      </c>
      <c r="D384" s="396">
        <v>6161</v>
      </c>
      <c r="E384" s="372" t="s">
        <v>538</v>
      </c>
      <c r="F384" s="417" t="s">
        <v>539</v>
      </c>
      <c r="G384" s="418">
        <v>44748</v>
      </c>
      <c r="H384" s="56" t="str">
        <f t="shared" si="506"/>
        <v>2 AÑOS</v>
      </c>
      <c r="I384" s="75">
        <v>4352.0856503202631</v>
      </c>
      <c r="J384" s="58"/>
      <c r="K384" s="57"/>
      <c r="L384" s="59"/>
      <c r="M384" s="60">
        <v>4.0000000000000002E-4</v>
      </c>
      <c r="N384" s="61">
        <f>I384*0.04</f>
        <v>174.08342601281052</v>
      </c>
      <c r="O384" s="58">
        <f t="shared" si="508"/>
        <v>4526.1690763330735</v>
      </c>
      <c r="P384" s="61">
        <f t="shared" si="509"/>
        <v>9052.3381526661469</v>
      </c>
      <c r="Q384" s="61">
        <f t="shared" si="510"/>
        <v>6789.2536144996102</v>
      </c>
      <c r="R384" s="61">
        <f t="shared" si="511"/>
        <v>2263.0845381665367</v>
      </c>
      <c r="S384" s="61">
        <f t="shared" si="512"/>
        <v>301.74460508887154</v>
      </c>
      <c r="T384" s="58">
        <f t="shared" si="513"/>
        <v>346.3726321815156</v>
      </c>
      <c r="U384" s="61">
        <f t="shared" si="514"/>
        <v>3394.6268072498051</v>
      </c>
      <c r="V384" s="58">
        <f t="shared" si="515"/>
        <v>1131.5422690832684</v>
      </c>
      <c r="W384" s="101">
        <v>2.5000000000000001E-2</v>
      </c>
      <c r="X384" s="63">
        <f t="shared" si="516"/>
        <v>226.3084538166537</v>
      </c>
      <c r="Y384" s="61">
        <v>175.51005725755755</v>
      </c>
      <c r="Z384" s="61">
        <v>0</v>
      </c>
      <c r="AA384" s="61">
        <f t="shared" si="517"/>
        <v>1131.5422690832681</v>
      </c>
      <c r="AB384" s="61">
        <f t="shared" si="518"/>
        <v>226.30845381665367</v>
      </c>
      <c r="AC384" s="61">
        <v>1657.8720176418847</v>
      </c>
      <c r="AD384" s="61">
        <v>846.65594347288777</v>
      </c>
      <c r="AE384" s="61">
        <v>536.87757988134922</v>
      </c>
      <c r="AF384" s="61">
        <v>0</v>
      </c>
      <c r="AG384" s="61">
        <f t="shared" si="519"/>
        <v>312.30566626698203</v>
      </c>
      <c r="AH384" s="64"/>
      <c r="AI384" s="64"/>
      <c r="AJ384" s="365">
        <v>19</v>
      </c>
      <c r="AK384" s="416" t="s">
        <v>66</v>
      </c>
      <c r="AL384" s="396">
        <v>6161</v>
      </c>
      <c r="AM384" s="372" t="s">
        <v>538</v>
      </c>
      <c r="AN384" s="417" t="s">
        <v>539</v>
      </c>
      <c r="AO384" s="368">
        <f t="shared" ref="AO384:AP384" si="529">Q384*3</f>
        <v>20367.760843498829</v>
      </c>
      <c r="AP384" s="368">
        <f t="shared" si="529"/>
        <v>6789.2536144996102</v>
      </c>
      <c r="AQ384" s="368">
        <f t="shared" ref="AQ384:AZ384" si="530">X384*3</f>
        <v>678.92536144996109</v>
      </c>
      <c r="AR384" s="368">
        <f t="shared" si="530"/>
        <v>526.5301717726727</v>
      </c>
      <c r="AS384" s="368">
        <f t="shared" si="530"/>
        <v>0</v>
      </c>
      <c r="AT384" s="368">
        <f t="shared" si="530"/>
        <v>3394.6268072498042</v>
      </c>
      <c r="AU384" s="368">
        <f t="shared" si="530"/>
        <v>678.92536144996097</v>
      </c>
      <c r="AV384" s="368">
        <f t="shared" si="530"/>
        <v>4973.616052925654</v>
      </c>
      <c r="AW384" s="368">
        <f t="shared" si="530"/>
        <v>2539.9678304186632</v>
      </c>
      <c r="AX384" s="368">
        <f t="shared" si="530"/>
        <v>1610.6327396440477</v>
      </c>
      <c r="AY384" s="368">
        <f t="shared" si="530"/>
        <v>0</v>
      </c>
      <c r="AZ384" s="368">
        <f t="shared" si="530"/>
        <v>936.91699880094609</v>
      </c>
      <c r="BB384" s="64"/>
      <c r="BC384" s="66"/>
      <c r="BD384" s="66"/>
      <c r="BE384" s="66"/>
    </row>
    <row r="385" spans="1:177" s="96" customFormat="1" ht="21" customHeight="1" x14ac:dyDescent="0.2">
      <c r="A385" s="50"/>
      <c r="B385" s="455" t="s">
        <v>99</v>
      </c>
      <c r="C385" s="456"/>
      <c r="D385" s="456"/>
      <c r="E385" s="143">
        <v>19</v>
      </c>
      <c r="F385" s="88" t="s">
        <v>100</v>
      </c>
      <c r="G385" s="139"/>
      <c r="H385" s="90"/>
      <c r="I385" s="91">
        <f>SUM(I372:I384)</f>
        <v>59663.859543055209</v>
      </c>
      <c r="J385" s="91">
        <f t="shared" ref="J385:AG385" si="531">SUM(J372:J384)</f>
        <v>4492.8</v>
      </c>
      <c r="K385" s="91">
        <f t="shared" si="531"/>
        <v>1005.6435666321213</v>
      </c>
      <c r="L385" s="91">
        <f t="shared" si="531"/>
        <v>28.838498812652219</v>
      </c>
      <c r="M385" s="91">
        <f t="shared" si="531"/>
        <v>7.6810000000000012E-3</v>
      </c>
      <c r="N385" s="91">
        <f t="shared" si="531"/>
        <v>3252.711732424289</v>
      </c>
      <c r="O385" s="91">
        <f t="shared" si="531"/>
        <v>62916.571275479495</v>
      </c>
      <c r="P385" s="91">
        <f t="shared" si="531"/>
        <v>125833.14255095899</v>
      </c>
      <c r="Q385" s="91">
        <f t="shared" si="531"/>
        <v>94374.85691321925</v>
      </c>
      <c r="R385" s="91">
        <f t="shared" si="531"/>
        <v>31458.285637739747</v>
      </c>
      <c r="S385" s="91">
        <f t="shared" si="531"/>
        <v>4194.4380850319658</v>
      </c>
      <c r="T385" s="91">
        <f t="shared" si="531"/>
        <v>4814.795477808193</v>
      </c>
      <c r="U385" s="91">
        <f t="shared" si="531"/>
        <v>47187.428456609625</v>
      </c>
      <c r="V385" s="91">
        <f t="shared" si="531"/>
        <v>15729.142818869874</v>
      </c>
      <c r="W385" s="91">
        <f t="shared" si="531"/>
        <v>0.37500000000000006</v>
      </c>
      <c r="X385" s="91">
        <f t="shared" si="531"/>
        <v>3587.0787127968802</v>
      </c>
      <c r="Y385" s="91">
        <f t="shared" si="531"/>
        <v>3782.2790230260875</v>
      </c>
      <c r="Z385" s="91">
        <f t="shared" si="531"/>
        <v>0</v>
      </c>
      <c r="AA385" s="91">
        <f t="shared" si="531"/>
        <v>15729.142818869872</v>
      </c>
      <c r="AB385" s="91">
        <f t="shared" si="531"/>
        <v>3145.828563773975</v>
      </c>
      <c r="AC385" s="91">
        <f t="shared" si="531"/>
        <v>22666.546791942135</v>
      </c>
      <c r="AD385" s="91">
        <f t="shared" si="531"/>
        <v>12005.134269379145</v>
      </c>
      <c r="AE385" s="91">
        <f t="shared" si="531"/>
        <v>7462.9329856914301</v>
      </c>
      <c r="AF385" s="91">
        <f t="shared" si="531"/>
        <v>0</v>
      </c>
      <c r="AG385" s="91">
        <f t="shared" si="531"/>
        <v>4341.2434180080854</v>
      </c>
      <c r="AH385" s="92"/>
      <c r="AI385" s="92"/>
      <c r="AJ385" s="455" t="s">
        <v>99</v>
      </c>
      <c r="AK385" s="456"/>
      <c r="AL385" s="456"/>
      <c r="AM385" s="143">
        <v>19</v>
      </c>
      <c r="AN385" s="88" t="s">
        <v>100</v>
      </c>
      <c r="AO385" s="144">
        <f>SUM(AO372:AO384)+84743.82</f>
        <v>945236.04443450575</v>
      </c>
      <c r="AP385" s="144">
        <f>SUM(AP372:AP384)+28247.94</f>
        <v>315078.68147816852</v>
      </c>
      <c r="AQ385" s="144">
        <f>SUM(AQ372:AQ384)</f>
        <v>36811.621259753272</v>
      </c>
      <c r="AR385" s="144">
        <f>SUM(AR372:AR384)+5268.63</f>
        <v>35212.843113485382</v>
      </c>
      <c r="AS385" s="144">
        <f>SUM(AS372:AS384)</f>
        <v>0</v>
      </c>
      <c r="AT385" s="144">
        <f>SUM(AT372:AT384)+14123.97</f>
        <v>157539.34073908426</v>
      </c>
      <c r="AU385" s="144">
        <f>SUM(AU372:AU384)+2824.79</f>
        <v>31507.864147816857</v>
      </c>
      <c r="AV385" s="144">
        <f>SUM(AV372:AV384)+19896.91</f>
        <v>230170.76019667767</v>
      </c>
      <c r="AW385" s="144">
        <f>SUM(AW372:AW384)+11172.93</f>
        <v>120064.38744388055</v>
      </c>
      <c r="AX385" s="144">
        <f>SUM(AX372:AX384)+6680.8</f>
        <v>74726.421646008675</v>
      </c>
      <c r="AY385" s="144">
        <f>SUM(AY372:AY384)</f>
        <v>0</v>
      </c>
      <c r="AZ385" s="144">
        <f>SUM(AZ372:AZ384)+3898.22</f>
        <v>43480.862323987261</v>
      </c>
      <c r="BA385" s="94"/>
      <c r="BB385" s="92"/>
      <c r="BC385" s="95"/>
      <c r="BD385" s="95"/>
      <c r="BE385" s="95"/>
      <c r="BF385" s="50"/>
      <c r="BG385" s="50"/>
      <c r="BH385" s="50"/>
      <c r="BI385" s="50"/>
      <c r="BJ385" s="50"/>
      <c r="BK385" s="50"/>
      <c r="BL385" s="50"/>
      <c r="BM385" s="50"/>
      <c r="BN385" s="50"/>
      <c r="BO385" s="50"/>
      <c r="BP385" s="50"/>
      <c r="BQ385" s="50"/>
      <c r="BR385" s="50"/>
      <c r="BS385" s="50"/>
      <c r="BT385" s="50"/>
      <c r="BU385" s="50"/>
      <c r="BV385" s="50"/>
      <c r="BW385" s="50"/>
      <c r="BX385" s="50"/>
      <c r="BY385" s="50"/>
      <c r="BZ385" s="50"/>
      <c r="CA385" s="50"/>
      <c r="CB385" s="50"/>
      <c r="CC385" s="50"/>
      <c r="CD385" s="50"/>
      <c r="CE385" s="50"/>
      <c r="CF385" s="50"/>
      <c r="CG385" s="50"/>
      <c r="CH385" s="50"/>
      <c r="CI385" s="50"/>
      <c r="CJ385" s="50"/>
      <c r="CK385" s="50"/>
      <c r="CL385" s="50"/>
      <c r="CM385" s="50"/>
      <c r="CN385" s="50"/>
      <c r="CO385" s="50"/>
      <c r="CP385" s="50"/>
      <c r="CQ385" s="50"/>
      <c r="CR385" s="50"/>
      <c r="CS385" s="50"/>
      <c r="CT385" s="50"/>
      <c r="CU385" s="50"/>
      <c r="CV385" s="50"/>
      <c r="CW385" s="50"/>
      <c r="CX385" s="50"/>
      <c r="CY385" s="50"/>
      <c r="CZ385" s="50"/>
      <c r="DA385" s="50"/>
      <c r="DB385" s="50"/>
      <c r="DC385" s="50"/>
      <c r="DD385" s="50"/>
      <c r="DE385" s="50"/>
      <c r="DF385" s="50"/>
      <c r="DG385" s="50"/>
      <c r="DH385" s="50"/>
      <c r="DI385" s="50"/>
      <c r="DJ385" s="50"/>
      <c r="DK385" s="50"/>
      <c r="DL385" s="50"/>
      <c r="DM385" s="50"/>
      <c r="DN385" s="50"/>
      <c r="DO385" s="50"/>
      <c r="DP385" s="50"/>
      <c r="DQ385" s="50"/>
      <c r="DR385" s="50"/>
      <c r="DS385" s="50"/>
      <c r="DT385" s="50"/>
      <c r="DU385" s="50"/>
      <c r="DV385" s="50"/>
      <c r="DW385" s="50"/>
      <c r="DX385" s="50"/>
      <c r="DY385" s="50"/>
      <c r="DZ385" s="50"/>
      <c r="EA385" s="50"/>
      <c r="EB385" s="50"/>
      <c r="EC385" s="50"/>
      <c r="ED385" s="50"/>
      <c r="EE385" s="50"/>
      <c r="EF385" s="50"/>
      <c r="EG385" s="50"/>
      <c r="EH385" s="50"/>
      <c r="EI385" s="50"/>
      <c r="EJ385" s="50"/>
      <c r="EK385" s="50"/>
      <c r="EL385" s="50"/>
      <c r="EM385" s="50"/>
      <c r="EN385" s="50"/>
      <c r="EO385" s="50"/>
      <c r="EP385" s="50"/>
      <c r="EQ385" s="50"/>
      <c r="ER385" s="50"/>
      <c r="ES385" s="50"/>
      <c r="ET385" s="50"/>
      <c r="EU385" s="50"/>
      <c r="EV385" s="50"/>
      <c r="EW385" s="50"/>
      <c r="EX385" s="50"/>
      <c r="EY385" s="50"/>
      <c r="EZ385" s="50"/>
      <c r="FA385" s="50"/>
      <c r="FB385" s="50"/>
      <c r="FC385" s="50"/>
      <c r="FD385" s="50"/>
      <c r="FE385" s="50"/>
      <c r="FF385" s="50"/>
      <c r="FG385" s="50"/>
      <c r="FH385" s="50"/>
      <c r="FI385" s="50"/>
      <c r="FJ385" s="50"/>
      <c r="FK385" s="50"/>
      <c r="FL385" s="50"/>
      <c r="FM385" s="50"/>
      <c r="FN385" s="50"/>
      <c r="FO385" s="50"/>
      <c r="FP385" s="50"/>
      <c r="FQ385" s="50"/>
      <c r="FR385" s="50"/>
      <c r="FS385" s="50"/>
      <c r="FT385" s="50"/>
      <c r="FU385" s="50"/>
    </row>
    <row r="386" spans="1:177" ht="21" customHeight="1" x14ac:dyDescent="0.2">
      <c r="B386" s="457" t="s">
        <v>101</v>
      </c>
      <c r="C386" s="458"/>
      <c r="D386" s="458"/>
      <c r="E386" s="207">
        <v>17</v>
      </c>
      <c r="F386" s="199" t="s">
        <v>540</v>
      </c>
      <c r="G386" s="146"/>
      <c r="H386" s="146"/>
      <c r="I386" s="57">
        <f t="shared" ref="I386:AG386" si="532">I371+I385</f>
        <v>111838.41937938731</v>
      </c>
      <c r="J386" s="57">
        <f t="shared" si="532"/>
        <v>4492.8</v>
      </c>
      <c r="K386" s="57">
        <f t="shared" si="532"/>
        <v>1005.6435666321213</v>
      </c>
      <c r="L386" s="74">
        <f t="shared" si="532"/>
        <v>28.838498812652219</v>
      </c>
      <c r="M386" s="57">
        <f t="shared" si="532"/>
        <v>1.0081000000000001E-2</v>
      </c>
      <c r="N386" s="57">
        <f t="shared" si="532"/>
        <v>5339.6941258775732</v>
      </c>
      <c r="O386" s="57">
        <f t="shared" si="532"/>
        <v>117178.11350526489</v>
      </c>
      <c r="P386" s="57">
        <f t="shared" si="532"/>
        <v>234356.22701052978</v>
      </c>
      <c r="Q386" s="57">
        <f t="shared" si="532"/>
        <v>175767.17025789735</v>
      </c>
      <c r="R386" s="57">
        <f t="shared" si="532"/>
        <v>58589.056752632445</v>
      </c>
      <c r="S386" s="57">
        <f t="shared" si="532"/>
        <v>7811.8742336843261</v>
      </c>
      <c r="T386" s="57">
        <f t="shared" si="532"/>
        <v>8967.2504328462364</v>
      </c>
      <c r="U386" s="81">
        <f t="shared" si="532"/>
        <v>87883.585128948675</v>
      </c>
      <c r="V386" s="57">
        <f t="shared" si="532"/>
        <v>29294.528376316222</v>
      </c>
      <c r="W386" s="57">
        <f t="shared" si="532"/>
        <v>0.37500000000000006</v>
      </c>
      <c r="X386" s="57">
        <f t="shared" si="532"/>
        <v>3587.0787127968802</v>
      </c>
      <c r="Y386" s="57">
        <f t="shared" si="532"/>
        <v>11909.361785401987</v>
      </c>
      <c r="Z386" s="57">
        <f t="shared" si="532"/>
        <v>0</v>
      </c>
      <c r="AA386" s="57">
        <f t="shared" si="532"/>
        <v>29294.528376316222</v>
      </c>
      <c r="AB386" s="57">
        <f t="shared" si="532"/>
        <v>5858.9056752632459</v>
      </c>
      <c r="AC386" s="57">
        <f t="shared" si="532"/>
        <v>39257.742030985304</v>
      </c>
      <c r="AD386" s="57">
        <f t="shared" si="532"/>
        <v>22888.92632928161</v>
      </c>
      <c r="AE386" s="57">
        <f t="shared" si="532"/>
        <v>13899.238166000399</v>
      </c>
      <c r="AF386" s="57">
        <f t="shared" si="532"/>
        <v>0</v>
      </c>
      <c r="AG386" s="57">
        <f t="shared" si="532"/>
        <v>8085.2898318632779</v>
      </c>
      <c r="AH386" s="92">
        <f>Q386+R386-Y386+Z386+X386+AA386+AB386+AC386+AD386+AE386+AF386+AG386</f>
        <v>345318.57434763468</v>
      </c>
      <c r="AI386" s="92">
        <f>AH386*12</f>
        <v>4143822.8921716162</v>
      </c>
      <c r="AJ386" s="457" t="s">
        <v>101</v>
      </c>
      <c r="AK386" s="458"/>
      <c r="AL386" s="458"/>
      <c r="AM386" s="207">
        <v>17</v>
      </c>
      <c r="AN386" s="199" t="s">
        <v>540</v>
      </c>
      <c r="AO386" s="242">
        <f t="shared" ref="AO386:AZ386" si="533">AO371+AO385</f>
        <v>1860692.6385417264</v>
      </c>
      <c r="AP386" s="242">
        <f t="shared" si="533"/>
        <v>620230.87951390864</v>
      </c>
      <c r="AQ386" s="242">
        <f t="shared" si="533"/>
        <v>36811.621259753272</v>
      </c>
      <c r="AR386" s="242">
        <f t="shared" si="533"/>
        <v>127312.8656973695</v>
      </c>
      <c r="AS386" s="242">
        <f t="shared" si="533"/>
        <v>0</v>
      </c>
      <c r="AT386" s="242">
        <f t="shared" si="533"/>
        <v>310115.43975695438</v>
      </c>
      <c r="AU386" s="242">
        <f t="shared" si="533"/>
        <v>62023.083951390887</v>
      </c>
      <c r="AV386" s="242">
        <f t="shared" si="533"/>
        <v>416513.6905625838</v>
      </c>
      <c r="AW386" s="242">
        <f t="shared" si="533"/>
        <v>242479.37727143045</v>
      </c>
      <c r="AX386" s="242">
        <f t="shared" si="533"/>
        <v>147118.49132522207</v>
      </c>
      <c r="AY386" s="242">
        <f t="shared" si="533"/>
        <v>0</v>
      </c>
      <c r="AZ386" s="242">
        <f t="shared" si="533"/>
        <v>85591.865652919412</v>
      </c>
      <c r="BA386" s="94"/>
      <c r="BB386" s="92">
        <f>AO386+AP386+AQ386-AR386+AS386+AU386+AV386+AT386+AW386+AX386+AY386+AZ386</f>
        <v>3654264.2221385199</v>
      </c>
      <c r="BC386" s="95"/>
      <c r="BD386" s="95"/>
      <c r="BE386" s="95"/>
    </row>
    <row r="387" spans="1:177" ht="21" customHeight="1" x14ac:dyDescent="0.2">
      <c r="B387" s="457" t="s">
        <v>103</v>
      </c>
      <c r="C387" s="458"/>
      <c r="D387" s="458"/>
      <c r="E387" s="76">
        <f>E385-E386</f>
        <v>2</v>
      </c>
      <c r="F387" s="73"/>
      <c r="G387" s="479"/>
      <c r="H387" s="479"/>
      <c r="I387" s="479"/>
      <c r="J387" s="479"/>
      <c r="K387" s="479"/>
      <c r="L387" s="479"/>
      <c r="M387" s="479"/>
      <c r="N387" s="479"/>
      <c r="O387" s="479"/>
      <c r="P387" s="479"/>
      <c r="Q387" s="479"/>
      <c r="R387" s="479"/>
      <c r="S387" s="479"/>
      <c r="T387" s="479"/>
      <c r="U387" s="479"/>
      <c r="V387" s="479"/>
      <c r="W387" s="479"/>
      <c r="X387" s="479"/>
      <c r="Y387" s="479"/>
      <c r="Z387" s="479"/>
      <c r="AA387" s="479"/>
      <c r="AB387" s="479"/>
      <c r="AC387" s="479"/>
      <c r="AD387" s="479"/>
      <c r="AE387" s="479"/>
      <c r="AF387" s="479"/>
      <c r="AG387" s="480"/>
      <c r="AH387" s="64"/>
      <c r="AI387" s="64"/>
      <c r="AJ387" s="457" t="s">
        <v>103</v>
      </c>
      <c r="AK387" s="458"/>
      <c r="AL387" s="458"/>
      <c r="AM387" s="76">
        <f>AM385-AM386</f>
        <v>2</v>
      </c>
      <c r="AN387" s="73"/>
      <c r="AO387" s="481"/>
      <c r="AP387" s="482"/>
      <c r="AQ387" s="482"/>
      <c r="AR387" s="482"/>
      <c r="AS387" s="482"/>
      <c r="AT387" s="482"/>
      <c r="AU387" s="482"/>
      <c r="AV387" s="482"/>
      <c r="AW387" s="482"/>
      <c r="AX387" s="482"/>
      <c r="AY387" s="482"/>
      <c r="AZ387" s="483"/>
      <c r="BA387" s="152"/>
      <c r="BB387" s="92"/>
      <c r="BC387" s="95"/>
      <c r="BD387" s="95"/>
      <c r="BE387" s="95"/>
    </row>
    <row r="388" spans="1:177" ht="21" customHeight="1" x14ac:dyDescent="0.2">
      <c r="B388" s="5"/>
      <c r="C388" s="94"/>
      <c r="D388" s="5"/>
      <c r="E388" s="94"/>
      <c r="G388" s="27"/>
      <c r="H388" s="27"/>
      <c r="I388" s="95"/>
      <c r="J388" s="95"/>
      <c r="K388" s="95"/>
      <c r="L388" s="27"/>
      <c r="M388" s="128"/>
      <c r="N388" s="66"/>
      <c r="O388" s="95"/>
      <c r="P388" s="66"/>
      <c r="Q388" s="66"/>
      <c r="R388" s="66"/>
      <c r="S388" s="66"/>
      <c r="T388" s="95"/>
      <c r="U388" s="66"/>
      <c r="V388" s="95"/>
      <c r="W388" s="129"/>
      <c r="X388" s="130"/>
      <c r="Y388" s="66"/>
      <c r="Z388" s="66"/>
      <c r="AA388" s="66"/>
      <c r="AB388" s="66"/>
      <c r="AC388" s="66"/>
      <c r="AD388" s="66"/>
      <c r="AE388" s="66"/>
      <c r="AF388" s="66"/>
      <c r="AG388" s="66"/>
      <c r="AH388" s="64"/>
      <c r="AI388" s="64"/>
      <c r="AJ388" s="5"/>
      <c r="AK388" s="94"/>
      <c r="AL388" s="5"/>
      <c r="AM388" s="94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2"/>
      <c r="BB388" s="92"/>
      <c r="BC388" s="95"/>
      <c r="BD388" s="95"/>
      <c r="BE388" s="95"/>
    </row>
    <row r="389" spans="1:177" ht="21" customHeight="1" thickBot="1" x14ac:dyDescent="0.25">
      <c r="B389" s="5"/>
      <c r="C389" s="94"/>
      <c r="D389" s="5"/>
      <c r="E389" s="94"/>
      <c r="G389" s="27"/>
      <c r="H389" s="27"/>
      <c r="I389" s="95"/>
      <c r="J389" s="95"/>
      <c r="K389" s="95"/>
      <c r="L389" s="27"/>
      <c r="M389" s="128"/>
      <c r="N389" s="66"/>
      <c r="O389" s="95"/>
      <c r="P389" s="66"/>
      <c r="Q389" s="66"/>
      <c r="R389" s="66"/>
      <c r="S389" s="66"/>
      <c r="T389" s="95"/>
      <c r="U389" s="66"/>
      <c r="V389" s="95"/>
      <c r="W389" s="129"/>
      <c r="X389" s="130"/>
      <c r="Y389" s="66"/>
      <c r="Z389" s="66"/>
      <c r="AA389" s="66"/>
      <c r="AB389" s="66"/>
      <c r="AC389" s="66"/>
      <c r="AD389" s="66"/>
      <c r="AE389" s="66"/>
      <c r="AF389" s="66"/>
      <c r="AG389" s="66"/>
      <c r="AH389" s="64"/>
      <c r="AI389" s="64"/>
      <c r="AJ389" s="5"/>
      <c r="AK389" s="94"/>
      <c r="AL389" s="5"/>
      <c r="AM389" s="94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2"/>
      <c r="BB389" s="92"/>
      <c r="BC389" s="95"/>
      <c r="BD389" s="95"/>
      <c r="BE389" s="95"/>
    </row>
    <row r="390" spans="1:177" s="134" customFormat="1" ht="21" customHeight="1" thickBot="1" x14ac:dyDescent="0.25">
      <c r="A390" s="94"/>
      <c r="B390" s="476" t="s">
        <v>541</v>
      </c>
      <c r="C390" s="477"/>
      <c r="D390" s="477"/>
      <c r="E390" s="478"/>
      <c r="F390" s="466" t="s">
        <v>4</v>
      </c>
      <c r="G390" s="7" t="s">
        <v>5</v>
      </c>
      <c r="H390" s="8" t="s">
        <v>6</v>
      </c>
      <c r="I390" s="9" t="s">
        <v>7</v>
      </c>
      <c r="J390" s="9"/>
      <c r="K390" s="9"/>
      <c r="L390" s="9"/>
      <c r="M390" s="10">
        <v>4.0000000000000002E-4</v>
      </c>
      <c r="N390" s="11" t="s">
        <v>8</v>
      </c>
      <c r="O390" s="12" t="s">
        <v>9</v>
      </c>
      <c r="P390" s="12" t="s">
        <v>10</v>
      </c>
      <c r="Q390" s="13" t="s">
        <v>11</v>
      </c>
      <c r="R390" s="12" t="s">
        <v>12</v>
      </c>
      <c r="S390" s="14" t="s">
        <v>11</v>
      </c>
      <c r="T390" s="15" t="s">
        <v>13</v>
      </c>
      <c r="U390" s="16" t="s">
        <v>11</v>
      </c>
      <c r="V390" s="17" t="s">
        <v>12</v>
      </c>
      <c r="W390" s="18" t="s">
        <v>14</v>
      </c>
      <c r="X390" s="19" t="s">
        <v>15</v>
      </c>
      <c r="Y390" s="15" t="s">
        <v>16</v>
      </c>
      <c r="Z390" s="13" t="s">
        <v>17</v>
      </c>
      <c r="AA390" s="20" t="s">
        <v>18</v>
      </c>
      <c r="AB390" s="17" t="s">
        <v>19</v>
      </c>
      <c r="AC390" s="13" t="s">
        <v>20</v>
      </c>
      <c r="AD390" s="13" t="s">
        <v>21</v>
      </c>
      <c r="AE390" s="13" t="s">
        <v>22</v>
      </c>
      <c r="AF390" s="17" t="s">
        <v>23</v>
      </c>
      <c r="AG390" s="12" t="s">
        <v>24</v>
      </c>
      <c r="AH390" s="132"/>
      <c r="AI390" s="132"/>
      <c r="AJ390" s="476" t="s">
        <v>541</v>
      </c>
      <c r="AK390" s="477"/>
      <c r="AL390" s="477"/>
      <c r="AM390" s="478"/>
      <c r="AN390" s="466" t="s">
        <v>4</v>
      </c>
      <c r="AO390" s="133" t="s">
        <v>11</v>
      </c>
      <c r="AP390" s="12" t="s">
        <v>12</v>
      </c>
      <c r="AQ390" s="23" t="s">
        <v>15</v>
      </c>
      <c r="AR390" s="22" t="s">
        <v>16</v>
      </c>
      <c r="AS390" s="22" t="s">
        <v>25</v>
      </c>
      <c r="AT390" s="20" t="s">
        <v>26</v>
      </c>
      <c r="AU390" s="24" t="s">
        <v>27</v>
      </c>
      <c r="AV390" s="23" t="s">
        <v>20</v>
      </c>
      <c r="AW390" s="22" t="s">
        <v>28</v>
      </c>
      <c r="AX390" s="22" t="s">
        <v>29</v>
      </c>
      <c r="AY390" s="25" t="s">
        <v>23</v>
      </c>
      <c r="AZ390" s="24" t="s">
        <v>24</v>
      </c>
      <c r="BA390" s="94"/>
      <c r="BB390" s="92"/>
      <c r="BC390" s="95"/>
      <c r="BD390" s="95"/>
      <c r="BE390" s="95"/>
      <c r="BF390" s="94"/>
      <c r="BG390" s="94"/>
      <c r="BH390" s="94"/>
      <c r="BI390" s="94"/>
      <c r="BJ390" s="94"/>
      <c r="BK390" s="94"/>
      <c r="BL390" s="94"/>
      <c r="BM390" s="94"/>
      <c r="BN390" s="94"/>
      <c r="BO390" s="94"/>
      <c r="BP390" s="94"/>
      <c r="BQ390" s="94"/>
      <c r="BR390" s="94"/>
      <c r="BS390" s="94"/>
      <c r="BT390" s="94"/>
      <c r="BU390" s="94"/>
      <c r="BV390" s="94"/>
      <c r="BW390" s="94"/>
      <c r="BX390" s="94"/>
      <c r="BY390" s="94"/>
      <c r="BZ390" s="94"/>
      <c r="CA390" s="94"/>
      <c r="CB390" s="94"/>
      <c r="CC390" s="94"/>
      <c r="CD390" s="94"/>
      <c r="CE390" s="94"/>
      <c r="CF390" s="94"/>
      <c r="CG390" s="94"/>
      <c r="CH390" s="94"/>
      <c r="CI390" s="94"/>
      <c r="CJ390" s="94"/>
      <c r="CK390" s="94"/>
      <c r="CL390" s="94"/>
      <c r="CM390" s="94"/>
      <c r="CN390" s="94"/>
      <c r="CO390" s="94"/>
      <c r="CP390" s="94"/>
      <c r="CQ390" s="94"/>
      <c r="CR390" s="94"/>
      <c r="CS390" s="94"/>
      <c r="CT390" s="94"/>
      <c r="CU390" s="94"/>
      <c r="CV390" s="94"/>
      <c r="CW390" s="94"/>
      <c r="CX390" s="94"/>
      <c r="CY390" s="94"/>
      <c r="CZ390" s="94"/>
      <c r="DA390" s="94"/>
      <c r="DB390" s="94"/>
      <c r="DC390" s="94"/>
      <c r="DD390" s="94"/>
      <c r="DE390" s="94"/>
      <c r="DF390" s="94"/>
      <c r="DG390" s="94"/>
      <c r="DH390" s="94"/>
      <c r="DI390" s="94"/>
      <c r="DJ390" s="94"/>
      <c r="DK390" s="94"/>
      <c r="DL390" s="94"/>
      <c r="DM390" s="94"/>
      <c r="DN390" s="94"/>
      <c r="DO390" s="94"/>
      <c r="DP390" s="94"/>
      <c r="DQ390" s="94"/>
      <c r="DR390" s="94"/>
      <c r="DS390" s="94"/>
      <c r="DT390" s="94"/>
      <c r="DU390" s="94"/>
      <c r="DV390" s="94"/>
      <c r="DW390" s="94"/>
      <c r="DX390" s="94"/>
      <c r="DY390" s="94"/>
      <c r="DZ390" s="94"/>
      <c r="EA390" s="94"/>
      <c r="EB390" s="94"/>
      <c r="EC390" s="94"/>
      <c r="ED390" s="94"/>
      <c r="EE390" s="94"/>
      <c r="EF390" s="94"/>
      <c r="EG390" s="94"/>
      <c r="EH390" s="94"/>
      <c r="EI390" s="94"/>
      <c r="EJ390" s="94"/>
      <c r="EK390" s="94"/>
      <c r="EL390" s="94"/>
      <c r="EM390" s="94"/>
      <c r="EN390" s="94"/>
      <c r="EO390" s="94"/>
      <c r="EP390" s="94"/>
      <c r="EQ390" s="94"/>
      <c r="ER390" s="94"/>
      <c r="ES390" s="94"/>
      <c r="ET390" s="94"/>
      <c r="EU390" s="94"/>
      <c r="EV390" s="94"/>
      <c r="EW390" s="94"/>
      <c r="EX390" s="94"/>
      <c r="EY390" s="94"/>
      <c r="EZ390" s="94"/>
      <c r="FA390" s="94"/>
      <c r="FB390" s="94"/>
      <c r="FC390" s="94"/>
      <c r="FD390" s="94"/>
      <c r="FE390" s="94"/>
      <c r="FF390" s="94"/>
      <c r="FG390" s="94"/>
      <c r="FH390" s="94"/>
      <c r="FI390" s="94"/>
      <c r="FJ390" s="94"/>
      <c r="FK390" s="94"/>
      <c r="FL390" s="94"/>
      <c r="FM390" s="94"/>
      <c r="FN390" s="94"/>
      <c r="FO390" s="94"/>
      <c r="FP390" s="94"/>
      <c r="FQ390" s="94"/>
      <c r="FR390" s="94"/>
      <c r="FS390" s="94"/>
      <c r="FT390" s="94"/>
      <c r="FU390" s="94"/>
    </row>
    <row r="391" spans="1:177" s="134" customFormat="1" ht="21" customHeight="1" thickBot="1" x14ac:dyDescent="0.25">
      <c r="A391" s="94"/>
      <c r="B391" s="30" t="s">
        <v>30</v>
      </c>
      <c r="C391" s="6" t="s">
        <v>31</v>
      </c>
      <c r="D391" s="30" t="s">
        <v>105</v>
      </c>
      <c r="E391" s="32" t="s">
        <v>32</v>
      </c>
      <c r="F391" s="467"/>
      <c r="G391" s="33" t="s">
        <v>33</v>
      </c>
      <c r="H391" s="34">
        <v>45657</v>
      </c>
      <c r="I391" s="35">
        <v>2023</v>
      </c>
      <c r="J391" s="35"/>
      <c r="K391" s="35"/>
      <c r="L391" s="35"/>
      <c r="M391" s="36"/>
      <c r="N391" s="37"/>
      <c r="O391" s="38">
        <v>2024</v>
      </c>
      <c r="P391" s="39" t="s">
        <v>34</v>
      </c>
      <c r="Q391" s="40" t="s">
        <v>35</v>
      </c>
      <c r="R391" s="39" t="s">
        <v>36</v>
      </c>
      <c r="S391" s="41" t="s">
        <v>37</v>
      </c>
      <c r="T391" s="42" t="s">
        <v>38</v>
      </c>
      <c r="U391" s="43" t="s">
        <v>39</v>
      </c>
      <c r="V391" s="41" t="s">
        <v>39</v>
      </c>
      <c r="W391" s="44" t="s">
        <v>15</v>
      </c>
      <c r="X391" s="45" t="s">
        <v>35</v>
      </c>
      <c r="Y391" s="42" t="s">
        <v>35</v>
      </c>
      <c r="Z391" s="40" t="s">
        <v>35</v>
      </c>
      <c r="AA391" s="46" t="s">
        <v>35</v>
      </c>
      <c r="AB391" s="41" t="s">
        <v>35</v>
      </c>
      <c r="AC391" s="40" t="s">
        <v>35</v>
      </c>
      <c r="AD391" s="40" t="s">
        <v>35</v>
      </c>
      <c r="AE391" s="40" t="s">
        <v>35</v>
      </c>
      <c r="AF391" s="41" t="s">
        <v>35</v>
      </c>
      <c r="AG391" s="40" t="s">
        <v>35</v>
      </c>
      <c r="AH391" s="135"/>
      <c r="AI391" s="135"/>
      <c r="AJ391" s="30" t="s">
        <v>30</v>
      </c>
      <c r="AK391" s="6" t="s">
        <v>31</v>
      </c>
      <c r="AL391" s="30" t="s">
        <v>105</v>
      </c>
      <c r="AM391" s="32" t="s">
        <v>32</v>
      </c>
      <c r="AN391" s="467"/>
      <c r="AO391" s="46" t="s">
        <v>40</v>
      </c>
      <c r="AP391" s="39" t="s">
        <v>41</v>
      </c>
      <c r="AQ391" s="48" t="s">
        <v>40</v>
      </c>
      <c r="AR391" s="49" t="s">
        <v>40</v>
      </c>
      <c r="AS391" s="49" t="s">
        <v>40</v>
      </c>
      <c r="AT391" s="46" t="s">
        <v>40</v>
      </c>
      <c r="AU391" s="49" t="s">
        <v>40</v>
      </c>
      <c r="AV391" s="48" t="s">
        <v>40</v>
      </c>
      <c r="AW391" s="49" t="s">
        <v>40</v>
      </c>
      <c r="AX391" s="49" t="s">
        <v>40</v>
      </c>
      <c r="AY391" s="48" t="s">
        <v>40</v>
      </c>
      <c r="AZ391" s="49" t="s">
        <v>40</v>
      </c>
      <c r="BA391" s="94"/>
      <c r="BB391" s="92"/>
      <c r="BC391" s="95"/>
      <c r="BD391" s="95"/>
      <c r="BE391" s="95"/>
      <c r="BF391" s="94"/>
      <c r="BG391" s="94"/>
      <c r="BH391" s="94"/>
      <c r="BI391" s="94"/>
      <c r="BJ391" s="94"/>
      <c r="BK391" s="94"/>
      <c r="BL391" s="94"/>
      <c r="BM391" s="94"/>
      <c r="BN391" s="94"/>
      <c r="BO391" s="94"/>
      <c r="BP391" s="94"/>
      <c r="BQ391" s="94"/>
      <c r="BR391" s="94"/>
      <c r="BS391" s="94"/>
      <c r="BT391" s="94"/>
      <c r="BU391" s="94"/>
      <c r="BV391" s="94"/>
      <c r="BW391" s="94"/>
      <c r="BX391" s="94"/>
      <c r="BY391" s="94"/>
      <c r="BZ391" s="94"/>
      <c r="CA391" s="94"/>
      <c r="CB391" s="94"/>
      <c r="CC391" s="94"/>
      <c r="CD391" s="94"/>
      <c r="CE391" s="94"/>
      <c r="CF391" s="94"/>
      <c r="CG391" s="94"/>
      <c r="CH391" s="94"/>
      <c r="CI391" s="94"/>
      <c r="CJ391" s="94"/>
      <c r="CK391" s="94"/>
      <c r="CL391" s="94"/>
      <c r="CM391" s="94"/>
      <c r="CN391" s="94"/>
      <c r="CO391" s="94"/>
      <c r="CP391" s="94"/>
      <c r="CQ391" s="94"/>
      <c r="CR391" s="94"/>
      <c r="CS391" s="94"/>
      <c r="CT391" s="94"/>
      <c r="CU391" s="94"/>
      <c r="CV391" s="94"/>
      <c r="CW391" s="94"/>
      <c r="CX391" s="94"/>
      <c r="CY391" s="94"/>
      <c r="CZ391" s="94"/>
      <c r="DA391" s="94"/>
      <c r="DB391" s="94"/>
      <c r="DC391" s="94"/>
      <c r="DD391" s="94"/>
      <c r="DE391" s="94"/>
      <c r="DF391" s="94"/>
      <c r="DG391" s="94"/>
      <c r="DH391" s="94"/>
      <c r="DI391" s="94"/>
      <c r="DJ391" s="94"/>
      <c r="DK391" s="94"/>
      <c r="DL391" s="94"/>
      <c r="DM391" s="94"/>
      <c r="DN391" s="94"/>
      <c r="DO391" s="94"/>
      <c r="DP391" s="94"/>
      <c r="DQ391" s="94"/>
      <c r="DR391" s="94"/>
      <c r="DS391" s="94"/>
      <c r="DT391" s="94"/>
      <c r="DU391" s="94"/>
      <c r="DV391" s="94"/>
      <c r="DW391" s="94"/>
      <c r="DX391" s="94"/>
      <c r="DY391" s="94"/>
      <c r="DZ391" s="94"/>
      <c r="EA391" s="94"/>
      <c r="EB391" s="94"/>
      <c r="EC391" s="94"/>
      <c r="ED391" s="94"/>
      <c r="EE391" s="94"/>
      <c r="EF391" s="94"/>
      <c r="EG391" s="94"/>
      <c r="EH391" s="94"/>
      <c r="EI391" s="94"/>
      <c r="EJ391" s="94"/>
      <c r="EK391" s="94"/>
      <c r="EL391" s="94"/>
      <c r="EM391" s="94"/>
      <c r="EN391" s="94"/>
      <c r="EO391" s="94"/>
      <c r="EP391" s="94"/>
      <c r="EQ391" s="94"/>
      <c r="ER391" s="94"/>
      <c r="ES391" s="94"/>
      <c r="ET391" s="94"/>
      <c r="EU391" s="94"/>
      <c r="EV391" s="94"/>
      <c r="EW391" s="94"/>
      <c r="EX391" s="94"/>
      <c r="EY391" s="94"/>
      <c r="EZ391" s="94"/>
      <c r="FA391" s="94"/>
      <c r="FB391" s="94"/>
      <c r="FC391" s="94"/>
      <c r="FD391" s="94"/>
      <c r="FE391" s="94"/>
      <c r="FF391" s="94"/>
      <c r="FG391" s="94"/>
      <c r="FH391" s="94"/>
      <c r="FI391" s="94"/>
      <c r="FJ391" s="94"/>
      <c r="FK391" s="94"/>
      <c r="FL391" s="94"/>
      <c r="FM391" s="94"/>
      <c r="FN391" s="94"/>
      <c r="FO391" s="94"/>
      <c r="FP391" s="94"/>
      <c r="FQ391" s="94"/>
      <c r="FR391" s="94"/>
      <c r="FS391" s="94"/>
      <c r="FT391" s="94"/>
      <c r="FU391" s="94"/>
    </row>
    <row r="392" spans="1:177" s="364" customFormat="1" ht="21" customHeight="1" x14ac:dyDescent="0.2">
      <c r="B392" s="369">
        <v>1</v>
      </c>
      <c r="C392" s="372" t="s">
        <v>42</v>
      </c>
      <c r="D392" s="396">
        <v>1097</v>
      </c>
      <c r="E392" s="372" t="s">
        <v>542</v>
      </c>
      <c r="F392" s="378" t="s">
        <v>543</v>
      </c>
      <c r="G392" s="363">
        <v>43481</v>
      </c>
      <c r="H392" s="56" t="str">
        <f xml:space="preserve"> CONCATENATE(DATEDIF(G392,H$5,"Y")," AÑOS")</f>
        <v>5 AÑOS</v>
      </c>
      <c r="I392" s="57">
        <v>7960.5911925490464</v>
      </c>
      <c r="J392" s="57"/>
      <c r="K392" s="57"/>
      <c r="L392" s="74"/>
      <c r="M392" s="60">
        <v>4.0000000000000002E-4</v>
      </c>
      <c r="N392" s="61">
        <f>I392*0.04</f>
        <v>318.42364770196184</v>
      </c>
      <c r="O392" s="58">
        <f>I392+N392</f>
        <v>8279.0148402510076</v>
      </c>
      <c r="P392" s="61">
        <f>O392*2</f>
        <v>16558.029680502015</v>
      </c>
      <c r="Q392" s="61">
        <f>P392*0.75</f>
        <v>12418.522260376511</v>
      </c>
      <c r="R392" s="61">
        <f>P392*0.25</f>
        <v>4139.5074201255038</v>
      </c>
      <c r="S392" s="61">
        <f>(P392/30)</f>
        <v>551.93432268340052</v>
      </c>
      <c r="T392" s="58">
        <f>S392*1.1479</f>
        <v>633.56540900827542</v>
      </c>
      <c r="U392" s="61">
        <f>O392*0.75</f>
        <v>6209.2611301882553</v>
      </c>
      <c r="V392" s="58">
        <f>O392*0.25</f>
        <v>2069.7537100627519</v>
      </c>
      <c r="W392" s="62">
        <v>0</v>
      </c>
      <c r="X392" s="63">
        <f>P392*W392</f>
        <v>0</v>
      </c>
      <c r="Y392" s="61">
        <v>1111.9203616602417</v>
      </c>
      <c r="Z392" s="61">
        <v>0</v>
      </c>
      <c r="AA392" s="61">
        <f>(S392*45)/12</f>
        <v>2069.7537100627519</v>
      </c>
      <c r="AB392" s="61">
        <f>(S392*10)*(0.45*2)/12</f>
        <v>413.95074201255039</v>
      </c>
      <c r="AC392" s="61">
        <v>2577.7835951451652</v>
      </c>
      <c r="AD392" s="61">
        <v>1660.6066152811402</v>
      </c>
      <c r="AE392" s="61">
        <v>982.02638396282691</v>
      </c>
      <c r="AF392" s="61">
        <v>0</v>
      </c>
      <c r="AG392" s="61">
        <f>(P392+AA392+AB392)*0.03</f>
        <v>571.2520239773196</v>
      </c>
      <c r="AH392" s="64"/>
      <c r="AI392" s="64"/>
      <c r="AJ392" s="369">
        <v>1</v>
      </c>
      <c r="AK392" s="372" t="s">
        <v>42</v>
      </c>
      <c r="AL392" s="396">
        <v>1097</v>
      </c>
      <c r="AM392" s="372" t="s">
        <v>542</v>
      </c>
      <c r="AN392" s="378" t="s">
        <v>543</v>
      </c>
      <c r="AO392" s="419">
        <f>Q392*12</f>
        <v>149022.26712451811</v>
      </c>
      <c r="AP392" s="395">
        <f>R392*12</f>
        <v>49674.089041506042</v>
      </c>
      <c r="AQ392" s="395">
        <f t="shared" ref="AQ392:AZ392" si="534">X392*12</f>
        <v>0</v>
      </c>
      <c r="AR392" s="395">
        <f t="shared" si="534"/>
        <v>13343.044339922901</v>
      </c>
      <c r="AS392" s="395">
        <f t="shared" si="534"/>
        <v>0</v>
      </c>
      <c r="AT392" s="395">
        <f t="shared" si="534"/>
        <v>24837.044520753021</v>
      </c>
      <c r="AU392" s="395">
        <f t="shared" si="534"/>
        <v>4967.4089041506049</v>
      </c>
      <c r="AV392" s="395">
        <f t="shared" si="534"/>
        <v>30933.403141741983</v>
      </c>
      <c r="AW392" s="395">
        <f t="shared" si="534"/>
        <v>19927.279383373683</v>
      </c>
      <c r="AX392" s="395">
        <f t="shared" si="534"/>
        <v>11784.316607553923</v>
      </c>
      <c r="AY392" s="395">
        <f t="shared" si="534"/>
        <v>0</v>
      </c>
      <c r="AZ392" s="395">
        <f t="shared" si="534"/>
        <v>6855.0242877278351</v>
      </c>
      <c r="BB392" s="64"/>
      <c r="BC392" s="66"/>
      <c r="BD392" s="66"/>
      <c r="BE392" s="66"/>
    </row>
    <row r="393" spans="1:177" s="364" customFormat="1" ht="21" customHeight="1" x14ac:dyDescent="0.2">
      <c r="B393" s="365">
        <v>2</v>
      </c>
      <c r="C393" s="372" t="s">
        <v>42</v>
      </c>
      <c r="D393" s="412">
        <v>16544</v>
      </c>
      <c r="E393" s="372" t="s">
        <v>544</v>
      </c>
      <c r="F393" s="420" t="s">
        <v>545</v>
      </c>
      <c r="G393" s="398">
        <v>43862</v>
      </c>
      <c r="H393" s="56" t="str">
        <f xml:space="preserve"> CONCATENATE(DATEDIF(G393,H$5,"Y")," AÑOS")</f>
        <v>4 AÑOS</v>
      </c>
      <c r="I393" s="57">
        <v>4913.376968141848</v>
      </c>
      <c r="J393" s="58">
        <v>5984.31</v>
      </c>
      <c r="K393" s="172">
        <f>J393-I393</f>
        <v>1070.9330318581524</v>
      </c>
      <c r="L393" s="173">
        <f>K393*100/I393</f>
        <v>21.796272478216956</v>
      </c>
      <c r="M393" s="60">
        <v>2.1800000000000001E-3</v>
      </c>
      <c r="N393" s="61">
        <f>I393*0.2179</f>
        <v>1070.6248413581088</v>
      </c>
      <c r="O393" s="58">
        <f>I393+N393</f>
        <v>5984.0018094999568</v>
      </c>
      <c r="P393" s="61">
        <f>O393*2</f>
        <v>11968.003618999914</v>
      </c>
      <c r="Q393" s="61">
        <f>P393*0.75</f>
        <v>8976.0027142499348</v>
      </c>
      <c r="R393" s="61">
        <f>P393*0.25</f>
        <v>2992.0009047499784</v>
      </c>
      <c r="S393" s="61">
        <f>(P393/30)</f>
        <v>398.93345396666376</v>
      </c>
      <c r="T393" s="58">
        <f>S393*1.1479</f>
        <v>457.93571180833328</v>
      </c>
      <c r="U393" s="61">
        <f>O393*0.75</f>
        <v>4488.0013571249674</v>
      </c>
      <c r="V393" s="58">
        <f>O393*0.25</f>
        <v>1496.0004523749892</v>
      </c>
      <c r="W393" s="62">
        <v>0</v>
      </c>
      <c r="X393" s="63">
        <f>P393*W393</f>
        <v>0</v>
      </c>
      <c r="Y393" s="61">
        <v>663.67865599999993</v>
      </c>
      <c r="Z393" s="61">
        <v>0</v>
      </c>
      <c r="AA393" s="61">
        <f>(S393*45)/12</f>
        <v>1496.0004523749892</v>
      </c>
      <c r="AB393" s="61">
        <f>(S393*10)*(0.45*2)/12</f>
        <v>299.20009047499781</v>
      </c>
      <c r="AC393" s="61">
        <v>2015.2214249096633</v>
      </c>
      <c r="AD393" s="61">
        <v>1200.2723974352318</v>
      </c>
      <c r="AE393" s="61">
        <v>709.80035330291662</v>
      </c>
      <c r="AF393" s="61">
        <v>0</v>
      </c>
      <c r="AG393" s="61">
        <f>(P393+AA393+AB393)*0.03</f>
        <v>412.89612485549702</v>
      </c>
      <c r="AH393" s="64"/>
      <c r="AI393" s="64"/>
      <c r="AJ393" s="365">
        <v>2</v>
      </c>
      <c r="AK393" s="372" t="s">
        <v>42</v>
      </c>
      <c r="AL393" s="412">
        <v>16544</v>
      </c>
      <c r="AM393" s="372" t="s">
        <v>544</v>
      </c>
      <c r="AN393" s="420" t="s">
        <v>545</v>
      </c>
      <c r="AO393" s="368">
        <f t="shared" ref="AO393:AP393" si="535">Q393*3</f>
        <v>26928.008142749804</v>
      </c>
      <c r="AP393" s="368">
        <f t="shared" si="535"/>
        <v>8976.0027142499348</v>
      </c>
      <c r="AQ393" s="368">
        <f t="shared" ref="AQ393:AZ393" si="536">X393*3</f>
        <v>0</v>
      </c>
      <c r="AR393" s="368">
        <f t="shared" si="536"/>
        <v>1991.0359679999997</v>
      </c>
      <c r="AS393" s="368">
        <f t="shared" si="536"/>
        <v>0</v>
      </c>
      <c r="AT393" s="368">
        <f t="shared" si="536"/>
        <v>4488.0013571249674</v>
      </c>
      <c r="AU393" s="368">
        <f t="shared" si="536"/>
        <v>897.60027142499348</v>
      </c>
      <c r="AV393" s="368">
        <f t="shared" si="536"/>
        <v>6045.6642747289898</v>
      </c>
      <c r="AW393" s="368">
        <f t="shared" si="536"/>
        <v>3600.8171923056952</v>
      </c>
      <c r="AX393" s="368">
        <f t="shared" si="536"/>
        <v>2129.4010599087496</v>
      </c>
      <c r="AY393" s="368">
        <f t="shared" si="536"/>
        <v>0</v>
      </c>
      <c r="AZ393" s="368">
        <f t="shared" si="536"/>
        <v>1238.6883745664911</v>
      </c>
      <c r="BB393" s="64"/>
      <c r="BC393" s="66"/>
      <c r="BD393" s="66"/>
      <c r="BE393" s="66"/>
    </row>
    <row r="394" spans="1:177" s="364" customFormat="1" ht="21" customHeight="1" x14ac:dyDescent="0.2">
      <c r="B394" s="369">
        <v>3</v>
      </c>
      <c r="C394" s="372" t="s">
        <v>42</v>
      </c>
      <c r="D394" s="365">
        <v>10067</v>
      </c>
      <c r="E394" s="372" t="s">
        <v>546</v>
      </c>
      <c r="F394" s="408" t="s">
        <v>547</v>
      </c>
      <c r="G394" s="55">
        <v>44215</v>
      </c>
      <c r="H394" s="56" t="str">
        <f xml:space="preserve"> CONCATENATE(DATEDIF(G394,H$5,"Y")," AÑOS")</f>
        <v>3 AÑOS</v>
      </c>
      <c r="I394" s="57">
        <v>16987.628463799967</v>
      </c>
      <c r="J394" s="58"/>
      <c r="K394" s="57"/>
      <c r="L394" s="59"/>
      <c r="M394" s="60">
        <v>4.0000000000000002E-4</v>
      </c>
      <c r="N394" s="61">
        <f>I394*0.04</f>
        <v>679.5051385519987</v>
      </c>
      <c r="O394" s="58">
        <f>I394+N394</f>
        <v>17667.133602351965</v>
      </c>
      <c r="P394" s="61">
        <f>O394*2</f>
        <v>35334.26720470393</v>
      </c>
      <c r="Q394" s="61">
        <f>P394*0.75</f>
        <v>26500.700403527946</v>
      </c>
      <c r="R394" s="61">
        <f>P394*0.25</f>
        <v>8833.5668011759826</v>
      </c>
      <c r="S394" s="61">
        <f>(P394/30)</f>
        <v>1177.8089068234644</v>
      </c>
      <c r="T394" s="58">
        <f>S394*1.1479</f>
        <v>1352.0068441426547</v>
      </c>
      <c r="U394" s="61">
        <f>O394*0.75</f>
        <v>13250.350201763973</v>
      </c>
      <c r="V394" s="58">
        <f>O394*0.25</f>
        <v>4416.7834005879913</v>
      </c>
      <c r="W394" s="62">
        <v>0</v>
      </c>
      <c r="X394" s="63">
        <f>P394*W394</f>
        <v>0</v>
      </c>
      <c r="Y394" s="61">
        <v>4014.4256541935692</v>
      </c>
      <c r="Z394" s="61">
        <v>0</v>
      </c>
      <c r="AA394" s="61">
        <f>(S394*45)/12</f>
        <v>4416.7834005879913</v>
      </c>
      <c r="AB394" s="61">
        <f>(S394*10)*(0.45*2)/12</f>
        <v>883.35668011759833</v>
      </c>
      <c r="AC394" s="61">
        <v>4879.0343481780528</v>
      </c>
      <c r="AD394" s="61">
        <v>3543.6775388401052</v>
      </c>
      <c r="AE394" s="61">
        <v>2095.6106084211146</v>
      </c>
      <c r="AF394" s="61">
        <v>0</v>
      </c>
      <c r="AG394" s="61">
        <f>(P394+AA394+AB394)*0.03</f>
        <v>1219.0322185622856</v>
      </c>
      <c r="AH394" s="64"/>
      <c r="AI394" s="64"/>
      <c r="AJ394" s="369">
        <v>3</v>
      </c>
      <c r="AK394" s="372" t="s">
        <v>42</v>
      </c>
      <c r="AL394" s="365">
        <v>10067</v>
      </c>
      <c r="AM394" s="372" t="s">
        <v>546</v>
      </c>
      <c r="AN394" s="408" t="s">
        <v>547</v>
      </c>
      <c r="AO394" s="368">
        <f>Q394*12</f>
        <v>318008.40484233538</v>
      </c>
      <c r="AP394" s="368">
        <f>R394*12</f>
        <v>106002.80161411178</v>
      </c>
      <c r="AQ394" s="368">
        <f t="shared" ref="AQ394:AZ394" si="537">X394*12</f>
        <v>0</v>
      </c>
      <c r="AR394" s="368">
        <f t="shared" si="537"/>
        <v>48173.107850322835</v>
      </c>
      <c r="AS394" s="368">
        <f t="shared" si="537"/>
        <v>0</v>
      </c>
      <c r="AT394" s="368">
        <f t="shared" si="537"/>
        <v>53001.400807055892</v>
      </c>
      <c r="AU394" s="368">
        <f t="shared" si="537"/>
        <v>10600.28016141118</v>
      </c>
      <c r="AV394" s="368">
        <f t="shared" si="537"/>
        <v>58548.412178136634</v>
      </c>
      <c r="AW394" s="368">
        <f t="shared" si="537"/>
        <v>42524.13046608126</v>
      </c>
      <c r="AX394" s="368">
        <f t="shared" si="537"/>
        <v>25147.327301053374</v>
      </c>
      <c r="AY394" s="368">
        <f t="shared" si="537"/>
        <v>0</v>
      </c>
      <c r="AZ394" s="368">
        <f t="shared" si="537"/>
        <v>14628.386622747428</v>
      </c>
      <c r="BB394" s="64"/>
      <c r="BC394" s="66"/>
      <c r="BD394" s="66"/>
      <c r="BE394" s="66"/>
    </row>
    <row r="395" spans="1:177" s="364" customFormat="1" ht="21" customHeight="1" x14ac:dyDescent="0.2">
      <c r="B395" s="369">
        <v>4</v>
      </c>
      <c r="C395" s="372" t="s">
        <v>42</v>
      </c>
      <c r="D395" s="365"/>
      <c r="E395" s="375" t="s">
        <v>55</v>
      </c>
      <c r="F395" s="371" t="s">
        <v>548</v>
      </c>
      <c r="G395" s="363"/>
      <c r="H395" s="56"/>
      <c r="I395" s="57">
        <v>5250</v>
      </c>
      <c r="J395" s="58"/>
      <c r="K395" s="58"/>
      <c r="L395" s="59"/>
      <c r="M395" s="60">
        <v>4.0000000000000002E-4</v>
      </c>
      <c r="N395" s="61">
        <f>I395*0.04</f>
        <v>210</v>
      </c>
      <c r="O395" s="58">
        <f>I395+N395</f>
        <v>5460</v>
      </c>
      <c r="P395" s="61">
        <f>O395*2</f>
        <v>10920</v>
      </c>
      <c r="Q395" s="61">
        <f>P395*0.75</f>
        <v>8190</v>
      </c>
      <c r="R395" s="61">
        <f>P395*0.25</f>
        <v>2730</v>
      </c>
      <c r="S395" s="61">
        <f>(P395/30)</f>
        <v>364</v>
      </c>
      <c r="T395" s="58">
        <f>S395*1.1479</f>
        <v>417.8356</v>
      </c>
      <c r="U395" s="61">
        <f>O395*0.75</f>
        <v>4095</v>
      </c>
      <c r="V395" s="58">
        <f>O395*0.25</f>
        <v>1365</v>
      </c>
      <c r="W395" s="62">
        <v>0</v>
      </c>
      <c r="X395" s="63">
        <f>P395*W395</f>
        <v>0</v>
      </c>
      <c r="Y395" s="61">
        <v>578.11126399999989</v>
      </c>
      <c r="Z395" s="61">
        <v>0</v>
      </c>
      <c r="AA395" s="61">
        <f>(S395*45)/12</f>
        <v>1365</v>
      </c>
      <c r="AB395" s="61">
        <f>(S395*10)*(0.45*2)/12</f>
        <v>273</v>
      </c>
      <c r="AC395" s="61">
        <v>1886.7761432446798</v>
      </c>
      <c r="AD395" s="61">
        <v>1095.1679993799999</v>
      </c>
      <c r="AE395" s="61">
        <v>647.64517999999998</v>
      </c>
      <c r="AF395" s="61">
        <v>0</v>
      </c>
      <c r="AG395" s="61">
        <f>(P395+AA395+AB395)*0.03</f>
        <v>376.74</v>
      </c>
      <c r="AH395" s="92"/>
      <c r="AI395" s="64"/>
      <c r="AJ395" s="369">
        <v>4</v>
      </c>
      <c r="AK395" s="372" t="s">
        <v>42</v>
      </c>
      <c r="AL395" s="365"/>
      <c r="AM395" s="375" t="s">
        <v>55</v>
      </c>
      <c r="AN395" s="371" t="s">
        <v>548</v>
      </c>
      <c r="AO395" s="368">
        <f>Q395*4.5</f>
        <v>36855</v>
      </c>
      <c r="AP395" s="368">
        <f>R395*4.5</f>
        <v>12285</v>
      </c>
      <c r="AQ395" s="368">
        <f t="shared" ref="AQ395:AZ395" si="538">X395*4.5</f>
        <v>0</v>
      </c>
      <c r="AR395" s="368">
        <f t="shared" si="538"/>
        <v>2601.5006879999996</v>
      </c>
      <c r="AS395" s="368">
        <f t="shared" si="538"/>
        <v>0</v>
      </c>
      <c r="AT395" s="368">
        <f t="shared" si="538"/>
        <v>6142.5</v>
      </c>
      <c r="AU395" s="368">
        <f t="shared" si="538"/>
        <v>1228.5</v>
      </c>
      <c r="AV395" s="368">
        <f t="shared" si="538"/>
        <v>8490.4926446010595</v>
      </c>
      <c r="AW395" s="368">
        <f t="shared" si="538"/>
        <v>4928.2559972099989</v>
      </c>
      <c r="AX395" s="368">
        <f t="shared" si="538"/>
        <v>2914.4033099999997</v>
      </c>
      <c r="AY395" s="368">
        <f t="shared" si="538"/>
        <v>0</v>
      </c>
      <c r="AZ395" s="368">
        <f t="shared" si="538"/>
        <v>1695.33</v>
      </c>
      <c r="BB395" s="64"/>
      <c r="BC395" s="66"/>
      <c r="BD395" s="66"/>
      <c r="BE395" s="66"/>
    </row>
    <row r="396" spans="1:177" s="96" customFormat="1" ht="21" customHeight="1" x14ac:dyDescent="0.2">
      <c r="A396" s="50"/>
      <c r="B396" s="468" t="s">
        <v>65</v>
      </c>
      <c r="C396" s="469"/>
      <c r="D396" s="469"/>
      <c r="E396" s="469"/>
      <c r="F396" s="470"/>
      <c r="G396" s="139"/>
      <c r="H396" s="90"/>
      <c r="I396" s="91">
        <f>SUM(I392:I395)</f>
        <v>35111.596624490863</v>
      </c>
      <c r="J396" s="91">
        <f t="shared" ref="J396:AG396" si="539">SUM(J392:J395)</f>
        <v>5984.31</v>
      </c>
      <c r="K396" s="91">
        <f t="shared" si="539"/>
        <v>1070.9330318581524</v>
      </c>
      <c r="L396" s="91">
        <f t="shared" si="539"/>
        <v>21.796272478216956</v>
      </c>
      <c r="M396" s="91">
        <f t="shared" si="539"/>
        <v>3.3800000000000006E-3</v>
      </c>
      <c r="N396" s="91">
        <f t="shared" si="539"/>
        <v>2278.5536276120692</v>
      </c>
      <c r="O396" s="91">
        <f t="shared" si="539"/>
        <v>37390.150252102932</v>
      </c>
      <c r="P396" s="91">
        <f t="shared" si="539"/>
        <v>74780.300504205865</v>
      </c>
      <c r="Q396" s="91">
        <f t="shared" si="539"/>
        <v>56085.225378154391</v>
      </c>
      <c r="R396" s="91">
        <f t="shared" si="539"/>
        <v>18695.075126051466</v>
      </c>
      <c r="S396" s="91">
        <f t="shared" si="539"/>
        <v>2492.676683473529</v>
      </c>
      <c r="T396" s="91">
        <f t="shared" si="539"/>
        <v>2861.3435649592634</v>
      </c>
      <c r="U396" s="91">
        <f t="shared" si="539"/>
        <v>28042.612689077196</v>
      </c>
      <c r="V396" s="91">
        <f t="shared" si="539"/>
        <v>9347.5375630257331</v>
      </c>
      <c r="W396" s="91">
        <f t="shared" si="539"/>
        <v>0</v>
      </c>
      <c r="X396" s="91">
        <f t="shared" si="539"/>
        <v>0</v>
      </c>
      <c r="Y396" s="91">
        <f t="shared" si="539"/>
        <v>6368.1359358538111</v>
      </c>
      <c r="Z396" s="91">
        <f t="shared" si="539"/>
        <v>0</v>
      </c>
      <c r="AA396" s="91">
        <f t="shared" si="539"/>
        <v>9347.5375630257331</v>
      </c>
      <c r="AB396" s="91">
        <f t="shared" si="539"/>
        <v>1869.5075126051465</v>
      </c>
      <c r="AC396" s="91">
        <f t="shared" si="539"/>
        <v>11358.815511477562</v>
      </c>
      <c r="AD396" s="91">
        <f t="shared" si="539"/>
        <v>7499.7245509364775</v>
      </c>
      <c r="AE396" s="91">
        <f t="shared" si="539"/>
        <v>4435.0825256868575</v>
      </c>
      <c r="AF396" s="91">
        <f t="shared" si="539"/>
        <v>0</v>
      </c>
      <c r="AG396" s="91">
        <f t="shared" si="539"/>
        <v>2579.9203673951024</v>
      </c>
      <c r="AH396" s="92"/>
      <c r="AI396" s="92"/>
      <c r="AJ396" s="468" t="s">
        <v>65</v>
      </c>
      <c r="AK396" s="469"/>
      <c r="AL396" s="469"/>
      <c r="AM396" s="469"/>
      <c r="AN396" s="470"/>
      <c r="AO396" s="144">
        <f>SUM(AO392:AO395)+1012617.31</f>
        <v>1543430.9901096034</v>
      </c>
      <c r="AP396" s="144">
        <f>SUM(AP392:AP395)+337539.1</f>
        <v>514476.99336986773</v>
      </c>
      <c r="AQ396" s="144">
        <f>SUM(AQ392:AQ395)</f>
        <v>0</v>
      </c>
      <c r="AR396" s="144">
        <f>SUM(AR392:AR395)+98975.54</f>
        <v>165084.22884624574</v>
      </c>
      <c r="AS396" s="144">
        <f>SUM(AS392:AS395)</f>
        <v>0</v>
      </c>
      <c r="AT396" s="144">
        <f>SUM(AT392:AT395)+168769.55</f>
        <v>257238.49668493387</v>
      </c>
      <c r="AU396" s="144">
        <f>SUM(AU392:AU395)+33753.91</f>
        <v>51447.699336986785</v>
      </c>
      <c r="AV396" s="144">
        <f>SUM(AV392:AV395)+205903.65</f>
        <v>309921.62223920866</v>
      </c>
      <c r="AW396" s="144">
        <f>SUM(AW392:AW395)+135279.94</f>
        <v>206260.42303897062</v>
      </c>
      <c r="AX396" s="144">
        <f>SUM(AX392:AX395)+79999.96</f>
        <v>121975.40827851606</v>
      </c>
      <c r="AY396" s="144">
        <f>SUM(AY392:AY395)</f>
        <v>0</v>
      </c>
      <c r="AZ396" s="144">
        <f>SUM(AZ392:AZ395)+46580.39</f>
        <v>70997.819285041754</v>
      </c>
      <c r="BA396" s="94"/>
      <c r="BB396" s="92"/>
      <c r="BC396" s="95"/>
      <c r="BD396" s="95"/>
      <c r="BE396" s="95"/>
      <c r="BF396" s="50"/>
      <c r="BG396" s="50"/>
      <c r="BH396" s="50"/>
      <c r="BI396" s="50"/>
      <c r="BJ396" s="50"/>
      <c r="BK396" s="50"/>
      <c r="BL396" s="50"/>
      <c r="BM396" s="50"/>
      <c r="BN396" s="50"/>
      <c r="BO396" s="50"/>
      <c r="BP396" s="50"/>
      <c r="BQ396" s="50"/>
      <c r="BR396" s="50"/>
      <c r="BS396" s="50"/>
      <c r="BT396" s="50"/>
      <c r="BU396" s="50"/>
      <c r="BV396" s="50"/>
      <c r="BW396" s="50"/>
      <c r="BX396" s="50"/>
      <c r="BY396" s="50"/>
      <c r="BZ396" s="50"/>
      <c r="CA396" s="50"/>
      <c r="CB396" s="50"/>
      <c r="CC396" s="50"/>
      <c r="CD396" s="50"/>
      <c r="CE396" s="50"/>
      <c r="CF396" s="50"/>
      <c r="CG396" s="50"/>
      <c r="CH396" s="50"/>
      <c r="CI396" s="50"/>
      <c r="CJ396" s="50"/>
      <c r="CK396" s="50"/>
      <c r="CL396" s="50"/>
      <c r="CM396" s="50"/>
      <c r="CN396" s="50"/>
      <c r="CO396" s="50"/>
      <c r="CP396" s="50"/>
      <c r="CQ396" s="50"/>
      <c r="CR396" s="50"/>
      <c r="CS396" s="50"/>
      <c r="CT396" s="50"/>
      <c r="CU396" s="50"/>
      <c r="CV396" s="50"/>
      <c r="CW396" s="50"/>
      <c r="CX396" s="50"/>
      <c r="CY396" s="50"/>
      <c r="CZ396" s="50"/>
      <c r="DA396" s="50"/>
      <c r="DB396" s="50"/>
      <c r="DC396" s="50"/>
      <c r="DD396" s="50"/>
      <c r="DE396" s="50"/>
      <c r="DF396" s="50"/>
      <c r="DG396" s="50"/>
      <c r="DH396" s="50"/>
      <c r="DI396" s="50"/>
      <c r="DJ396" s="50"/>
      <c r="DK396" s="50"/>
      <c r="DL396" s="50"/>
      <c r="DM396" s="50"/>
      <c r="DN396" s="50"/>
      <c r="DO396" s="50"/>
      <c r="DP396" s="50"/>
      <c r="DQ396" s="50"/>
      <c r="DR396" s="50"/>
      <c r="DS396" s="50"/>
      <c r="DT396" s="50"/>
      <c r="DU396" s="50"/>
      <c r="DV396" s="50"/>
      <c r="DW396" s="50"/>
      <c r="DX396" s="50"/>
      <c r="DY396" s="50"/>
      <c r="DZ396" s="50"/>
      <c r="EA396" s="50"/>
      <c r="EB396" s="50"/>
      <c r="EC396" s="50"/>
      <c r="ED396" s="50"/>
      <c r="EE396" s="50"/>
      <c r="EF396" s="50"/>
      <c r="EG396" s="50"/>
      <c r="EH396" s="50"/>
      <c r="EI396" s="50"/>
      <c r="EJ396" s="50"/>
      <c r="EK396" s="50"/>
      <c r="EL396" s="50"/>
      <c r="EM396" s="50"/>
      <c r="EN396" s="50"/>
      <c r="EO396" s="50"/>
      <c r="EP396" s="50"/>
      <c r="EQ396" s="50"/>
      <c r="ER396" s="50"/>
      <c r="ES396" s="50"/>
      <c r="ET396" s="50"/>
      <c r="EU396" s="50"/>
      <c r="EV396" s="50"/>
      <c r="EW396" s="50"/>
      <c r="EX396" s="50"/>
      <c r="EY396" s="50"/>
      <c r="EZ396" s="50"/>
      <c r="FA396" s="50"/>
      <c r="FB396" s="50"/>
      <c r="FC396" s="50"/>
      <c r="FD396" s="50"/>
      <c r="FE396" s="50"/>
      <c r="FF396" s="50"/>
      <c r="FG396" s="50"/>
      <c r="FH396" s="50"/>
      <c r="FI396" s="50"/>
      <c r="FJ396" s="50"/>
      <c r="FK396" s="50"/>
      <c r="FL396" s="50"/>
      <c r="FM396" s="50"/>
      <c r="FN396" s="50"/>
      <c r="FO396" s="50"/>
      <c r="FP396" s="50"/>
      <c r="FQ396" s="50"/>
      <c r="FR396" s="50"/>
      <c r="FS396" s="50"/>
      <c r="FT396" s="50"/>
      <c r="FU396" s="50"/>
    </row>
    <row r="397" spans="1:177" ht="21" customHeight="1" x14ac:dyDescent="0.2">
      <c r="B397" s="51">
        <v>5</v>
      </c>
      <c r="C397" s="73" t="s">
        <v>66</v>
      </c>
      <c r="D397" s="83">
        <v>14088</v>
      </c>
      <c r="E397" s="84" t="s">
        <v>549</v>
      </c>
      <c r="F397" s="53" t="s">
        <v>550</v>
      </c>
      <c r="G397" s="155">
        <v>43474</v>
      </c>
      <c r="H397" s="56" t="str">
        <f t="shared" ref="H397:H404" si="540" xml:space="preserve"> CONCATENATE(DATEDIF(G397,H$5,"Y")," AÑOS")</f>
        <v>5 AÑOS</v>
      </c>
      <c r="I397" s="75">
        <v>6879.6049564277564</v>
      </c>
      <c r="J397" s="57"/>
      <c r="K397" s="57"/>
      <c r="L397" s="74"/>
      <c r="M397" s="60">
        <v>4.0000000000000002E-4</v>
      </c>
      <c r="N397" s="61">
        <f>I397*0.04</f>
        <v>275.18419825711027</v>
      </c>
      <c r="O397" s="58">
        <f t="shared" ref="O397:O421" si="541">I397+N397</f>
        <v>7154.7891546848668</v>
      </c>
      <c r="P397" s="61">
        <f t="shared" ref="P397:P421" si="542">O397*2</f>
        <v>14309.578309369734</v>
      </c>
      <c r="Q397" s="61">
        <f t="shared" ref="Q397:Q421" si="543">P397*0.75</f>
        <v>10732.183732027301</v>
      </c>
      <c r="R397" s="61">
        <f t="shared" ref="R397:R421" si="544">P397*0.25</f>
        <v>3577.3945773424334</v>
      </c>
      <c r="S397" s="61">
        <f t="shared" ref="S397:S421" si="545">(P397/30)</f>
        <v>476.98594364565781</v>
      </c>
      <c r="T397" s="58">
        <f t="shared" ref="T397:T421" si="546">S397*1.1479</f>
        <v>547.53216471085057</v>
      </c>
      <c r="U397" s="61">
        <f t="shared" ref="U397:U421" si="547">O397*0.75</f>
        <v>5366.0918660136504</v>
      </c>
      <c r="V397" s="58">
        <f t="shared" ref="V397:V421" si="548">O397*0.25</f>
        <v>1788.6972886712167</v>
      </c>
      <c r="W397" s="101">
        <v>2.5000000000000001E-2</v>
      </c>
      <c r="X397" s="63">
        <f t="shared" ref="X397:X421" si="549">P397*W397</f>
        <v>357.73945773424339</v>
      </c>
      <c r="Y397" s="61">
        <v>854.70085404457018</v>
      </c>
      <c r="Z397" s="61">
        <v>0</v>
      </c>
      <c r="AA397" s="61">
        <f t="shared" ref="AA397:AA421" si="550">(S397*45)/12</f>
        <v>1788.6972886712167</v>
      </c>
      <c r="AB397" s="61">
        <f t="shared" ref="AB397:AB421" si="551">(S397*10)*(0.45*2)/12</f>
        <v>357.73945773424339</v>
      </c>
      <c r="AC397" s="61">
        <v>2302.2091940274454</v>
      </c>
      <c r="AD397" s="61">
        <v>1435.1091803153749</v>
      </c>
      <c r="AE397" s="61">
        <v>848.67485530181841</v>
      </c>
      <c r="AF397" s="61">
        <v>0</v>
      </c>
      <c r="AG397" s="61">
        <f t="shared" ref="AG397:AG421" si="552">(P397+AA397+AB397)*0.03</f>
        <v>493.68045167325585</v>
      </c>
      <c r="AH397" s="64"/>
      <c r="AI397" s="64"/>
      <c r="AJ397" s="51">
        <v>5</v>
      </c>
      <c r="AK397" s="73" t="s">
        <v>66</v>
      </c>
      <c r="AL397" s="83">
        <v>14088</v>
      </c>
      <c r="AM397" s="84" t="s">
        <v>549</v>
      </c>
      <c r="AN397" s="53" t="s">
        <v>550</v>
      </c>
      <c r="AO397" s="138">
        <f>Q397*12</f>
        <v>128786.20478432761</v>
      </c>
      <c r="AP397" s="65">
        <f>R397*12</f>
        <v>42928.734928109203</v>
      </c>
      <c r="AQ397" s="65">
        <f t="shared" ref="AQ397:AZ397" si="553">X397*12</f>
        <v>4292.8734928109207</v>
      </c>
      <c r="AR397" s="65">
        <f t="shared" si="553"/>
        <v>10256.410248534841</v>
      </c>
      <c r="AS397" s="65">
        <f t="shared" si="553"/>
        <v>0</v>
      </c>
      <c r="AT397" s="65">
        <f t="shared" si="553"/>
        <v>21464.367464054601</v>
      </c>
      <c r="AU397" s="65">
        <f t="shared" si="553"/>
        <v>4292.8734928109207</v>
      </c>
      <c r="AV397" s="65">
        <f t="shared" si="553"/>
        <v>27626.510328329343</v>
      </c>
      <c r="AW397" s="65">
        <f t="shared" si="553"/>
        <v>17221.310163784499</v>
      </c>
      <c r="AX397" s="65">
        <f t="shared" si="553"/>
        <v>10184.098263621821</v>
      </c>
      <c r="AY397" s="65">
        <f t="shared" si="553"/>
        <v>0</v>
      </c>
      <c r="AZ397" s="65">
        <f t="shared" si="553"/>
        <v>5924.1654200790699</v>
      </c>
      <c r="BB397" s="64"/>
      <c r="BC397" s="66"/>
      <c r="BD397" s="66"/>
      <c r="BE397" s="66"/>
    </row>
    <row r="398" spans="1:177" s="364" customFormat="1" ht="21" customHeight="1" x14ac:dyDescent="0.2">
      <c r="B398" s="365">
        <v>6</v>
      </c>
      <c r="C398" s="372" t="s">
        <v>66</v>
      </c>
      <c r="D398" s="365">
        <v>11190</v>
      </c>
      <c r="E398" s="372" t="s">
        <v>551</v>
      </c>
      <c r="F398" s="421" t="s">
        <v>550</v>
      </c>
      <c r="G398" s="363">
        <v>45170</v>
      </c>
      <c r="H398" s="56" t="str">
        <f t="shared" si="540"/>
        <v>1 AÑOS</v>
      </c>
      <c r="I398" s="57">
        <v>7852.7135934508487</v>
      </c>
      <c r="J398" s="57"/>
      <c r="K398" s="108"/>
      <c r="L398" s="109"/>
      <c r="M398" s="60">
        <v>4.0000000000000002E-4</v>
      </c>
      <c r="N398" s="61">
        <f>I398*0.04</f>
        <v>314.10854373803397</v>
      </c>
      <c r="O398" s="58">
        <f t="shared" si="541"/>
        <v>8166.8221371888831</v>
      </c>
      <c r="P398" s="61">
        <f t="shared" si="542"/>
        <v>16333.644274377766</v>
      </c>
      <c r="Q398" s="61">
        <f t="shared" si="543"/>
        <v>12250.233205783325</v>
      </c>
      <c r="R398" s="61">
        <f t="shared" si="544"/>
        <v>4083.4110685944415</v>
      </c>
      <c r="S398" s="61">
        <f t="shared" si="545"/>
        <v>544.45480914592554</v>
      </c>
      <c r="T398" s="58">
        <f t="shared" si="546"/>
        <v>624.97967541860783</v>
      </c>
      <c r="U398" s="61">
        <f t="shared" si="547"/>
        <v>6125.1166028916623</v>
      </c>
      <c r="V398" s="58">
        <f t="shared" si="548"/>
        <v>2041.7055342972208</v>
      </c>
      <c r="W398" s="62">
        <v>7.4999999999999997E-2</v>
      </c>
      <c r="X398" s="63">
        <f t="shared" si="549"/>
        <v>1225.0233205783325</v>
      </c>
      <c r="Y398" s="61">
        <v>1084.99</v>
      </c>
      <c r="Z398" s="61">
        <v>0</v>
      </c>
      <c r="AA398" s="61">
        <f t="shared" si="550"/>
        <v>2041.7055342972208</v>
      </c>
      <c r="AB398" s="61">
        <f t="shared" si="551"/>
        <v>408.34110685944415</v>
      </c>
      <c r="AC398" s="61">
        <v>2550.2825005223763</v>
      </c>
      <c r="AD398" s="61">
        <v>1638.1029782559422</v>
      </c>
      <c r="AE398" s="61">
        <v>968.7184968988422</v>
      </c>
      <c r="AF398" s="61">
        <v>0</v>
      </c>
      <c r="AG398" s="61">
        <f t="shared" si="552"/>
        <v>563.5107274660329</v>
      </c>
      <c r="AH398" s="64"/>
      <c r="AI398" s="64"/>
      <c r="AJ398" s="365">
        <v>6</v>
      </c>
      <c r="AK398" s="372" t="s">
        <v>66</v>
      </c>
      <c r="AL398" s="365">
        <v>11190</v>
      </c>
      <c r="AM398" s="372" t="s">
        <v>551</v>
      </c>
      <c r="AN398" s="421" t="s">
        <v>550</v>
      </c>
      <c r="AO398" s="368">
        <f t="shared" ref="AO398:AP403" si="554">Q398*3</f>
        <v>36750.699617349972</v>
      </c>
      <c r="AP398" s="368">
        <f t="shared" si="554"/>
        <v>12250.233205783325</v>
      </c>
      <c r="AQ398" s="368">
        <f t="shared" ref="AQ398:AZ403" si="555">X398*3</f>
        <v>3675.0699617349974</v>
      </c>
      <c r="AR398" s="368">
        <f t="shared" si="555"/>
        <v>3254.9700000000003</v>
      </c>
      <c r="AS398" s="368">
        <f t="shared" si="555"/>
        <v>0</v>
      </c>
      <c r="AT398" s="368">
        <f t="shared" si="555"/>
        <v>6125.1166028916623</v>
      </c>
      <c r="AU398" s="368">
        <f t="shared" si="555"/>
        <v>1225.0233205783325</v>
      </c>
      <c r="AV398" s="368">
        <f t="shared" si="555"/>
        <v>7650.8475015671283</v>
      </c>
      <c r="AW398" s="368">
        <f t="shared" si="555"/>
        <v>4914.3089347678269</v>
      </c>
      <c r="AX398" s="368">
        <f t="shared" si="555"/>
        <v>2906.1554906965266</v>
      </c>
      <c r="AY398" s="368">
        <f t="shared" si="555"/>
        <v>0</v>
      </c>
      <c r="AZ398" s="368">
        <f t="shared" si="555"/>
        <v>1690.5321823980987</v>
      </c>
      <c r="BB398" s="64"/>
      <c r="BC398" s="66"/>
      <c r="BD398" s="66"/>
      <c r="BE398" s="66"/>
    </row>
    <row r="399" spans="1:177" s="364" customFormat="1" ht="21" customHeight="1" x14ac:dyDescent="0.2">
      <c r="B399" s="369">
        <v>7</v>
      </c>
      <c r="C399" s="372" t="s">
        <v>66</v>
      </c>
      <c r="D399" s="412">
        <v>12096</v>
      </c>
      <c r="E399" s="371" t="s">
        <v>552</v>
      </c>
      <c r="F399" s="420" t="s">
        <v>545</v>
      </c>
      <c r="G399" s="422">
        <v>45292</v>
      </c>
      <c r="H399" s="56" t="str">
        <f t="shared" si="540"/>
        <v>0 AÑOS</v>
      </c>
      <c r="I399" s="57">
        <v>4913.376968141848</v>
      </c>
      <c r="J399" s="57">
        <v>5984.31</v>
      </c>
      <c r="K399" s="108">
        <f t="shared" ref="K399:K404" si="556">J399-I399</f>
        <v>1070.9330318581524</v>
      </c>
      <c r="L399" s="109">
        <f t="shared" ref="L399:L404" si="557">K399*100/I399</f>
        <v>21.796272478216956</v>
      </c>
      <c r="M399" s="60">
        <v>2.1800000000000001E-3</v>
      </c>
      <c r="N399" s="61">
        <f>I399*0.2179</f>
        <v>1070.6248413581088</v>
      </c>
      <c r="O399" s="58">
        <f t="shared" si="541"/>
        <v>5984.0018094999568</v>
      </c>
      <c r="P399" s="61">
        <f t="shared" si="542"/>
        <v>11968.003618999914</v>
      </c>
      <c r="Q399" s="61">
        <f t="shared" si="543"/>
        <v>8976.0027142499348</v>
      </c>
      <c r="R399" s="61">
        <f t="shared" si="544"/>
        <v>2992.0009047499784</v>
      </c>
      <c r="S399" s="61">
        <f t="shared" si="545"/>
        <v>398.93345396666376</v>
      </c>
      <c r="T399" s="58">
        <f t="shared" si="546"/>
        <v>457.93571180833328</v>
      </c>
      <c r="U399" s="61">
        <f t="shared" si="547"/>
        <v>4488.0013571249674</v>
      </c>
      <c r="V399" s="58">
        <f t="shared" si="548"/>
        <v>1496.0004523749892</v>
      </c>
      <c r="W399" s="101">
        <v>0</v>
      </c>
      <c r="X399" s="63">
        <f t="shared" si="549"/>
        <v>0</v>
      </c>
      <c r="Y399" s="61">
        <v>663.67865599999993</v>
      </c>
      <c r="Z399" s="61">
        <v>0</v>
      </c>
      <c r="AA399" s="61">
        <f t="shared" si="550"/>
        <v>1496.0004523749892</v>
      </c>
      <c r="AB399" s="61">
        <f t="shared" si="551"/>
        <v>299.20009047499781</v>
      </c>
      <c r="AC399" s="61">
        <v>2015.2214249096633</v>
      </c>
      <c r="AD399" s="61">
        <v>1200.2723974352318</v>
      </c>
      <c r="AE399" s="61">
        <v>709.80035330291662</v>
      </c>
      <c r="AF399" s="61">
        <v>0</v>
      </c>
      <c r="AG399" s="61">
        <f t="shared" si="552"/>
        <v>412.89612485549702</v>
      </c>
      <c r="AH399" s="64"/>
      <c r="AI399" s="64"/>
      <c r="AJ399" s="369">
        <v>7</v>
      </c>
      <c r="AK399" s="372" t="s">
        <v>66</v>
      </c>
      <c r="AL399" s="412">
        <v>12096</v>
      </c>
      <c r="AM399" s="371" t="s">
        <v>552</v>
      </c>
      <c r="AN399" s="420" t="s">
        <v>545</v>
      </c>
      <c r="AO399" s="368">
        <f t="shared" si="554"/>
        <v>26928.008142749804</v>
      </c>
      <c r="AP399" s="368">
        <f t="shared" si="554"/>
        <v>8976.0027142499348</v>
      </c>
      <c r="AQ399" s="368">
        <f t="shared" si="555"/>
        <v>0</v>
      </c>
      <c r="AR399" s="368">
        <f t="shared" si="555"/>
        <v>1991.0359679999997</v>
      </c>
      <c r="AS399" s="368">
        <f t="shared" si="555"/>
        <v>0</v>
      </c>
      <c r="AT399" s="368">
        <f t="shared" si="555"/>
        <v>4488.0013571249674</v>
      </c>
      <c r="AU399" s="368">
        <f t="shared" si="555"/>
        <v>897.60027142499348</v>
      </c>
      <c r="AV399" s="368">
        <f t="shared" si="555"/>
        <v>6045.6642747289898</v>
      </c>
      <c r="AW399" s="368">
        <f t="shared" si="555"/>
        <v>3600.8171923056952</v>
      </c>
      <c r="AX399" s="368">
        <f t="shared" si="555"/>
        <v>2129.4010599087496</v>
      </c>
      <c r="AY399" s="368">
        <f t="shared" si="555"/>
        <v>0</v>
      </c>
      <c r="AZ399" s="368">
        <f t="shared" si="555"/>
        <v>1238.6883745664911</v>
      </c>
      <c r="BB399" s="64"/>
      <c r="BC399" s="66"/>
      <c r="BD399" s="66"/>
      <c r="BE399" s="66"/>
    </row>
    <row r="400" spans="1:177" s="364" customFormat="1" ht="21" customHeight="1" x14ac:dyDescent="0.2">
      <c r="B400" s="369">
        <v>8</v>
      </c>
      <c r="C400" s="372" t="s">
        <v>66</v>
      </c>
      <c r="D400" s="412">
        <v>16549</v>
      </c>
      <c r="E400" s="372" t="s">
        <v>553</v>
      </c>
      <c r="F400" s="420" t="s">
        <v>545</v>
      </c>
      <c r="G400" s="384">
        <v>43862</v>
      </c>
      <c r="H400" s="56" t="str">
        <f t="shared" si="540"/>
        <v>4 AÑOS</v>
      </c>
      <c r="I400" s="57">
        <v>4913.376968141848</v>
      </c>
      <c r="J400" s="58">
        <v>5984.31</v>
      </c>
      <c r="K400" s="172">
        <f t="shared" si="556"/>
        <v>1070.9330318581524</v>
      </c>
      <c r="L400" s="173">
        <f t="shared" si="557"/>
        <v>21.796272478216956</v>
      </c>
      <c r="M400" s="60">
        <v>2.1800000000000001E-3</v>
      </c>
      <c r="N400" s="61">
        <f>I400*0.2179</f>
        <v>1070.6248413581088</v>
      </c>
      <c r="O400" s="58">
        <f t="shared" si="541"/>
        <v>5984.0018094999568</v>
      </c>
      <c r="P400" s="61">
        <f t="shared" si="542"/>
        <v>11968.003618999914</v>
      </c>
      <c r="Q400" s="61">
        <f t="shared" si="543"/>
        <v>8976.0027142499348</v>
      </c>
      <c r="R400" s="61">
        <f t="shared" si="544"/>
        <v>2992.0009047499784</v>
      </c>
      <c r="S400" s="61">
        <f t="shared" si="545"/>
        <v>398.93345396666376</v>
      </c>
      <c r="T400" s="58">
        <f t="shared" si="546"/>
        <v>457.93571180833328</v>
      </c>
      <c r="U400" s="61">
        <f t="shared" si="547"/>
        <v>4488.0013571249674</v>
      </c>
      <c r="V400" s="58">
        <f t="shared" si="548"/>
        <v>1496.0004523749892</v>
      </c>
      <c r="W400" s="101">
        <v>0</v>
      </c>
      <c r="X400" s="63">
        <f t="shared" si="549"/>
        <v>0</v>
      </c>
      <c r="Y400" s="61">
        <v>663.67865599999993</v>
      </c>
      <c r="Z400" s="61">
        <v>0</v>
      </c>
      <c r="AA400" s="61">
        <f t="shared" si="550"/>
        <v>1496.0004523749892</v>
      </c>
      <c r="AB400" s="61">
        <f t="shared" si="551"/>
        <v>299.20009047499781</v>
      </c>
      <c r="AC400" s="61">
        <v>2015.2214249096633</v>
      </c>
      <c r="AD400" s="61">
        <v>1200.2723974352318</v>
      </c>
      <c r="AE400" s="61">
        <v>709.80035330291662</v>
      </c>
      <c r="AF400" s="61">
        <v>0</v>
      </c>
      <c r="AG400" s="61">
        <f t="shared" si="552"/>
        <v>412.89612485549702</v>
      </c>
      <c r="AH400" s="64"/>
      <c r="AI400" s="64"/>
      <c r="AJ400" s="369">
        <v>8</v>
      </c>
      <c r="AK400" s="372" t="s">
        <v>66</v>
      </c>
      <c r="AL400" s="412">
        <v>16549</v>
      </c>
      <c r="AM400" s="372" t="s">
        <v>553</v>
      </c>
      <c r="AN400" s="420" t="s">
        <v>545</v>
      </c>
      <c r="AO400" s="368">
        <f t="shared" si="554"/>
        <v>26928.008142749804</v>
      </c>
      <c r="AP400" s="368">
        <f t="shared" si="554"/>
        <v>8976.0027142499348</v>
      </c>
      <c r="AQ400" s="368">
        <f t="shared" si="555"/>
        <v>0</v>
      </c>
      <c r="AR400" s="368">
        <f t="shared" si="555"/>
        <v>1991.0359679999997</v>
      </c>
      <c r="AS400" s="368">
        <f t="shared" si="555"/>
        <v>0</v>
      </c>
      <c r="AT400" s="368">
        <f t="shared" si="555"/>
        <v>4488.0013571249674</v>
      </c>
      <c r="AU400" s="368">
        <f t="shared" si="555"/>
        <v>897.60027142499348</v>
      </c>
      <c r="AV400" s="368">
        <f t="shared" si="555"/>
        <v>6045.6642747289898</v>
      </c>
      <c r="AW400" s="368">
        <f t="shared" si="555"/>
        <v>3600.8171923056952</v>
      </c>
      <c r="AX400" s="368">
        <f t="shared" si="555"/>
        <v>2129.4010599087496</v>
      </c>
      <c r="AY400" s="368">
        <f t="shared" si="555"/>
        <v>0</v>
      </c>
      <c r="AZ400" s="368">
        <f t="shared" si="555"/>
        <v>1238.6883745664911</v>
      </c>
      <c r="BB400" s="64"/>
      <c r="BC400" s="66"/>
      <c r="BD400" s="66"/>
      <c r="BE400" s="66"/>
    </row>
    <row r="401" spans="1:177" s="364" customFormat="1" ht="21" customHeight="1" x14ac:dyDescent="0.2">
      <c r="B401" s="365">
        <v>9</v>
      </c>
      <c r="C401" s="372" t="s">
        <v>66</v>
      </c>
      <c r="D401" s="412">
        <v>16546</v>
      </c>
      <c r="E401" s="372" t="s">
        <v>554</v>
      </c>
      <c r="F401" s="420" t="s">
        <v>545</v>
      </c>
      <c r="G401" s="384">
        <v>43862</v>
      </c>
      <c r="H401" s="56" t="str">
        <f t="shared" si="540"/>
        <v>4 AÑOS</v>
      </c>
      <c r="I401" s="57">
        <v>4913.376968141848</v>
      </c>
      <c r="J401" s="58">
        <v>5984.31</v>
      </c>
      <c r="K401" s="108">
        <f t="shared" si="556"/>
        <v>1070.9330318581524</v>
      </c>
      <c r="L401" s="109">
        <f t="shared" si="557"/>
        <v>21.796272478216956</v>
      </c>
      <c r="M401" s="60">
        <v>2.1800000000000001E-3</v>
      </c>
      <c r="N401" s="61">
        <f>I401*0.2179</f>
        <v>1070.6248413581088</v>
      </c>
      <c r="O401" s="58">
        <f t="shared" si="541"/>
        <v>5984.0018094999568</v>
      </c>
      <c r="P401" s="61">
        <f t="shared" si="542"/>
        <v>11968.003618999914</v>
      </c>
      <c r="Q401" s="61">
        <f t="shared" si="543"/>
        <v>8976.0027142499348</v>
      </c>
      <c r="R401" s="61">
        <f t="shared" si="544"/>
        <v>2992.0009047499784</v>
      </c>
      <c r="S401" s="61">
        <f t="shared" si="545"/>
        <v>398.93345396666376</v>
      </c>
      <c r="T401" s="58">
        <f t="shared" si="546"/>
        <v>457.93571180833328</v>
      </c>
      <c r="U401" s="61">
        <f t="shared" si="547"/>
        <v>4488.0013571249674</v>
      </c>
      <c r="V401" s="58">
        <f t="shared" si="548"/>
        <v>1496.0004523749892</v>
      </c>
      <c r="W401" s="101">
        <v>0</v>
      </c>
      <c r="X401" s="63">
        <f t="shared" si="549"/>
        <v>0</v>
      </c>
      <c r="Y401" s="61">
        <v>663.67865599999993</v>
      </c>
      <c r="Z401" s="61">
        <v>0</v>
      </c>
      <c r="AA401" s="61">
        <f t="shared" si="550"/>
        <v>1496.0004523749892</v>
      </c>
      <c r="AB401" s="61">
        <f t="shared" si="551"/>
        <v>299.20009047499781</v>
      </c>
      <c r="AC401" s="61">
        <v>2015.2214249096633</v>
      </c>
      <c r="AD401" s="61">
        <v>1200.2723974352318</v>
      </c>
      <c r="AE401" s="61">
        <v>709.80035330291662</v>
      </c>
      <c r="AF401" s="61">
        <v>0</v>
      </c>
      <c r="AG401" s="61">
        <f t="shared" si="552"/>
        <v>412.89612485549702</v>
      </c>
      <c r="AH401" s="64"/>
      <c r="AI401" s="64"/>
      <c r="AJ401" s="365">
        <v>9</v>
      </c>
      <c r="AK401" s="372" t="s">
        <v>66</v>
      </c>
      <c r="AL401" s="412">
        <v>16546</v>
      </c>
      <c r="AM401" s="372" t="s">
        <v>554</v>
      </c>
      <c r="AN401" s="420" t="s">
        <v>545</v>
      </c>
      <c r="AO401" s="368">
        <f t="shared" si="554"/>
        <v>26928.008142749804</v>
      </c>
      <c r="AP401" s="368">
        <f t="shared" si="554"/>
        <v>8976.0027142499348</v>
      </c>
      <c r="AQ401" s="368">
        <f t="shared" si="555"/>
        <v>0</v>
      </c>
      <c r="AR401" s="368">
        <f t="shared" si="555"/>
        <v>1991.0359679999997</v>
      </c>
      <c r="AS401" s="368">
        <f t="shared" si="555"/>
        <v>0</v>
      </c>
      <c r="AT401" s="368">
        <f t="shared" si="555"/>
        <v>4488.0013571249674</v>
      </c>
      <c r="AU401" s="368">
        <f t="shared" si="555"/>
        <v>897.60027142499348</v>
      </c>
      <c r="AV401" s="368">
        <f t="shared" si="555"/>
        <v>6045.6642747289898</v>
      </c>
      <c r="AW401" s="368">
        <f t="shared" si="555"/>
        <v>3600.8171923056952</v>
      </c>
      <c r="AX401" s="368">
        <f t="shared" si="555"/>
        <v>2129.4010599087496</v>
      </c>
      <c r="AY401" s="368">
        <f t="shared" si="555"/>
        <v>0</v>
      </c>
      <c r="AZ401" s="368">
        <f t="shared" si="555"/>
        <v>1238.6883745664911</v>
      </c>
      <c r="BB401" s="64"/>
      <c r="BC401" s="66"/>
      <c r="BD401" s="66"/>
      <c r="BE401" s="66"/>
    </row>
    <row r="402" spans="1:177" s="364" customFormat="1" ht="21" customHeight="1" x14ac:dyDescent="0.2">
      <c r="B402" s="369">
        <v>10</v>
      </c>
      <c r="C402" s="372" t="s">
        <v>66</v>
      </c>
      <c r="D402" s="412">
        <v>16547</v>
      </c>
      <c r="E402" s="372" t="s">
        <v>555</v>
      </c>
      <c r="F402" s="373" t="s">
        <v>545</v>
      </c>
      <c r="G402" s="398">
        <v>43862</v>
      </c>
      <c r="H402" s="56" t="str">
        <f t="shared" si="540"/>
        <v>4 AÑOS</v>
      </c>
      <c r="I402" s="57">
        <v>4913.376968141848</v>
      </c>
      <c r="J402" s="58">
        <v>5984.31</v>
      </c>
      <c r="K402" s="172">
        <f t="shared" si="556"/>
        <v>1070.9330318581524</v>
      </c>
      <c r="L402" s="173">
        <f t="shared" si="557"/>
        <v>21.796272478216956</v>
      </c>
      <c r="M402" s="60">
        <v>2.1800000000000001E-3</v>
      </c>
      <c r="N402" s="61">
        <f>I402*0.2179</f>
        <v>1070.6248413581088</v>
      </c>
      <c r="O402" s="58">
        <f t="shared" si="541"/>
        <v>5984.0018094999568</v>
      </c>
      <c r="P402" s="61">
        <f t="shared" si="542"/>
        <v>11968.003618999914</v>
      </c>
      <c r="Q402" s="61">
        <f t="shared" si="543"/>
        <v>8976.0027142499348</v>
      </c>
      <c r="R402" s="61">
        <f t="shared" si="544"/>
        <v>2992.0009047499784</v>
      </c>
      <c r="S402" s="61">
        <f t="shared" si="545"/>
        <v>398.93345396666376</v>
      </c>
      <c r="T402" s="58">
        <f t="shared" si="546"/>
        <v>457.93571180833328</v>
      </c>
      <c r="U402" s="61">
        <f t="shared" si="547"/>
        <v>4488.0013571249674</v>
      </c>
      <c r="V402" s="58">
        <f t="shared" si="548"/>
        <v>1496.0004523749892</v>
      </c>
      <c r="W402" s="62">
        <v>0</v>
      </c>
      <c r="X402" s="63">
        <f t="shared" si="549"/>
        <v>0</v>
      </c>
      <c r="Y402" s="61">
        <v>663.67865599999993</v>
      </c>
      <c r="Z402" s="61">
        <v>0</v>
      </c>
      <c r="AA402" s="61">
        <f t="shared" si="550"/>
        <v>1496.0004523749892</v>
      </c>
      <c r="AB402" s="61">
        <f t="shared" si="551"/>
        <v>299.20009047499781</v>
      </c>
      <c r="AC402" s="61">
        <v>2015.2214249096633</v>
      </c>
      <c r="AD402" s="61">
        <v>1200.2723974352318</v>
      </c>
      <c r="AE402" s="61">
        <v>709.80035330291662</v>
      </c>
      <c r="AF402" s="61">
        <v>0</v>
      </c>
      <c r="AG402" s="61">
        <f t="shared" si="552"/>
        <v>412.89612485549702</v>
      </c>
      <c r="AH402" s="64"/>
      <c r="AI402" s="64"/>
      <c r="AJ402" s="369">
        <v>10</v>
      </c>
      <c r="AK402" s="372" t="s">
        <v>66</v>
      </c>
      <c r="AL402" s="412">
        <v>16547</v>
      </c>
      <c r="AM402" s="372" t="s">
        <v>555</v>
      </c>
      <c r="AN402" s="373" t="s">
        <v>545</v>
      </c>
      <c r="AO402" s="368">
        <f t="shared" si="554"/>
        <v>26928.008142749804</v>
      </c>
      <c r="AP402" s="368">
        <f t="shared" si="554"/>
        <v>8976.0027142499348</v>
      </c>
      <c r="AQ402" s="368">
        <f t="shared" si="555"/>
        <v>0</v>
      </c>
      <c r="AR402" s="368">
        <f t="shared" si="555"/>
        <v>1991.0359679999997</v>
      </c>
      <c r="AS402" s="368">
        <f t="shared" si="555"/>
        <v>0</v>
      </c>
      <c r="AT402" s="368">
        <f t="shared" si="555"/>
        <v>4488.0013571249674</v>
      </c>
      <c r="AU402" s="368">
        <f t="shared" si="555"/>
        <v>897.60027142499348</v>
      </c>
      <c r="AV402" s="368">
        <f t="shared" si="555"/>
        <v>6045.6642747289898</v>
      </c>
      <c r="AW402" s="368">
        <f t="shared" si="555"/>
        <v>3600.8171923056952</v>
      </c>
      <c r="AX402" s="368">
        <f t="shared" si="555"/>
        <v>2129.4010599087496</v>
      </c>
      <c r="AY402" s="368">
        <f t="shared" si="555"/>
        <v>0</v>
      </c>
      <c r="AZ402" s="368">
        <f t="shared" si="555"/>
        <v>1238.6883745664911</v>
      </c>
      <c r="BB402" s="64"/>
      <c r="BC402" s="66"/>
      <c r="BD402" s="66"/>
      <c r="BE402" s="66"/>
    </row>
    <row r="403" spans="1:177" s="364" customFormat="1" ht="21" customHeight="1" x14ac:dyDescent="0.2">
      <c r="B403" s="369">
        <v>11</v>
      </c>
      <c r="C403" s="372" t="s">
        <v>66</v>
      </c>
      <c r="D403" s="412">
        <v>16551</v>
      </c>
      <c r="E403" s="372" t="s">
        <v>556</v>
      </c>
      <c r="F403" s="373" t="s">
        <v>545</v>
      </c>
      <c r="G403" s="384">
        <v>43862</v>
      </c>
      <c r="H403" s="55" t="str">
        <f t="shared" si="540"/>
        <v>4 AÑOS</v>
      </c>
      <c r="I403" s="57">
        <v>4913.376968141848</v>
      </c>
      <c r="J403" s="57">
        <v>5984.31</v>
      </c>
      <c r="K403" s="108">
        <f t="shared" si="556"/>
        <v>1070.9330318581524</v>
      </c>
      <c r="L403" s="109">
        <f t="shared" si="557"/>
        <v>21.796272478216956</v>
      </c>
      <c r="M403" s="171">
        <v>2.1800000000000001E-3</v>
      </c>
      <c r="N403" s="81">
        <f>I403*0.2179</f>
        <v>1070.6248413581088</v>
      </c>
      <c r="O403" s="57">
        <f t="shared" si="541"/>
        <v>5984.0018094999568</v>
      </c>
      <c r="P403" s="81">
        <f t="shared" si="542"/>
        <v>11968.003618999914</v>
      </c>
      <c r="Q403" s="81">
        <f t="shared" si="543"/>
        <v>8976.0027142499348</v>
      </c>
      <c r="R403" s="81">
        <f t="shared" si="544"/>
        <v>2992.0009047499784</v>
      </c>
      <c r="S403" s="81">
        <f t="shared" si="545"/>
        <v>398.93345396666376</v>
      </c>
      <c r="T403" s="57">
        <f t="shared" si="546"/>
        <v>457.93571180833328</v>
      </c>
      <c r="U403" s="81">
        <f t="shared" si="547"/>
        <v>4488.0013571249674</v>
      </c>
      <c r="V403" s="57">
        <f t="shared" si="548"/>
        <v>1496.0004523749892</v>
      </c>
      <c r="W403" s="101">
        <v>0</v>
      </c>
      <c r="X403" s="158">
        <f t="shared" si="549"/>
        <v>0</v>
      </c>
      <c r="Y403" s="81">
        <v>663.67865599999993</v>
      </c>
      <c r="Z403" s="81">
        <v>0</v>
      </c>
      <c r="AA403" s="81">
        <f t="shared" si="550"/>
        <v>1496.0004523749892</v>
      </c>
      <c r="AB403" s="81">
        <f t="shared" si="551"/>
        <v>299.20009047499781</v>
      </c>
      <c r="AC403" s="81">
        <v>2015.2214249096633</v>
      </c>
      <c r="AD403" s="81">
        <v>1200.2723974352318</v>
      </c>
      <c r="AE403" s="81">
        <v>709.80035330291662</v>
      </c>
      <c r="AF403" s="81">
        <v>0</v>
      </c>
      <c r="AG403" s="81">
        <f t="shared" si="552"/>
        <v>412.89612485549702</v>
      </c>
      <c r="AH403" s="64"/>
      <c r="AI403" s="64"/>
      <c r="AJ403" s="369">
        <v>11</v>
      </c>
      <c r="AK403" s="372" t="s">
        <v>66</v>
      </c>
      <c r="AL403" s="412">
        <v>16551</v>
      </c>
      <c r="AM403" s="372" t="s">
        <v>556</v>
      </c>
      <c r="AN403" s="373" t="s">
        <v>545</v>
      </c>
      <c r="AO403" s="368">
        <f t="shared" si="554"/>
        <v>26928.008142749804</v>
      </c>
      <c r="AP403" s="368">
        <f t="shared" si="554"/>
        <v>8976.0027142499348</v>
      </c>
      <c r="AQ403" s="368">
        <f t="shared" si="555"/>
        <v>0</v>
      </c>
      <c r="AR403" s="368">
        <f t="shared" si="555"/>
        <v>1991.0359679999997</v>
      </c>
      <c r="AS403" s="368">
        <f t="shared" si="555"/>
        <v>0</v>
      </c>
      <c r="AT403" s="368">
        <f t="shared" si="555"/>
        <v>4488.0013571249674</v>
      </c>
      <c r="AU403" s="368">
        <f t="shared" si="555"/>
        <v>897.60027142499348</v>
      </c>
      <c r="AV403" s="368">
        <f t="shared" si="555"/>
        <v>6045.6642747289898</v>
      </c>
      <c r="AW403" s="368">
        <f t="shared" si="555"/>
        <v>3600.8171923056952</v>
      </c>
      <c r="AX403" s="368">
        <f t="shared" si="555"/>
        <v>2129.4010599087496</v>
      </c>
      <c r="AY403" s="368">
        <f t="shared" si="555"/>
        <v>0</v>
      </c>
      <c r="AZ403" s="368">
        <f t="shared" si="555"/>
        <v>1238.6883745664911</v>
      </c>
      <c r="BB403" s="64"/>
      <c r="BC403" s="66"/>
      <c r="BD403" s="66"/>
      <c r="BE403" s="66"/>
    </row>
    <row r="404" spans="1:177" s="102" customFormat="1" ht="21" customHeight="1" x14ac:dyDescent="0.2">
      <c r="A404" s="50"/>
      <c r="B404" s="67">
        <v>12</v>
      </c>
      <c r="C404" s="73" t="s">
        <v>66</v>
      </c>
      <c r="D404" s="83">
        <v>9122</v>
      </c>
      <c r="E404" s="104" t="s">
        <v>557</v>
      </c>
      <c r="F404" s="192" t="s">
        <v>113</v>
      </c>
      <c r="G404" s="136">
        <v>43998</v>
      </c>
      <c r="H404" s="56" t="str">
        <f t="shared" si="540"/>
        <v>4 AÑOS</v>
      </c>
      <c r="I404" s="75">
        <v>4076.534985486393</v>
      </c>
      <c r="J404" s="57">
        <v>5286.85</v>
      </c>
      <c r="K404" s="108">
        <f t="shared" si="556"/>
        <v>1210.3150145136074</v>
      </c>
      <c r="L404" s="109">
        <f t="shared" si="557"/>
        <v>29.689798292487811</v>
      </c>
      <c r="M404" s="60">
        <v>2.9680000000000002E-3</v>
      </c>
      <c r="N404" s="61">
        <f>I404*0.2967</f>
        <v>1209.5079301938129</v>
      </c>
      <c r="O404" s="58">
        <f t="shared" si="541"/>
        <v>5286.0429156802056</v>
      </c>
      <c r="P404" s="61">
        <f t="shared" si="542"/>
        <v>10572.085831360411</v>
      </c>
      <c r="Q404" s="61">
        <f t="shared" si="543"/>
        <v>7929.0643735203084</v>
      </c>
      <c r="R404" s="61">
        <f t="shared" si="544"/>
        <v>2643.0214578401028</v>
      </c>
      <c r="S404" s="61">
        <f t="shared" si="545"/>
        <v>352.40286104534704</v>
      </c>
      <c r="T404" s="58">
        <f t="shared" si="546"/>
        <v>404.52324419395381</v>
      </c>
      <c r="U404" s="61">
        <f t="shared" si="547"/>
        <v>3964.5321867601542</v>
      </c>
      <c r="V404" s="58">
        <f t="shared" si="548"/>
        <v>1321.5107289200514</v>
      </c>
      <c r="W404" s="62">
        <v>0</v>
      </c>
      <c r="X404" s="63">
        <f t="shared" si="549"/>
        <v>0</v>
      </c>
      <c r="Y404" s="61">
        <v>549.85318400000006</v>
      </c>
      <c r="Z404" s="61">
        <v>0</v>
      </c>
      <c r="AA404" s="61">
        <f t="shared" si="550"/>
        <v>1321.5107289200514</v>
      </c>
      <c r="AB404" s="61">
        <f t="shared" si="551"/>
        <v>264.30214578401029</v>
      </c>
      <c r="AC404" s="61">
        <v>1844.1351326832896</v>
      </c>
      <c r="AD404" s="61">
        <v>1003.8446566295062</v>
      </c>
      <c r="AE404" s="61">
        <v>627.01102850062853</v>
      </c>
      <c r="AF404" s="61">
        <v>0</v>
      </c>
      <c r="AG404" s="61">
        <f t="shared" si="552"/>
        <v>364.73696118193413</v>
      </c>
      <c r="AH404" s="64"/>
      <c r="AI404" s="64"/>
      <c r="AJ404" s="67">
        <v>12</v>
      </c>
      <c r="AK404" s="73" t="s">
        <v>66</v>
      </c>
      <c r="AL404" s="83">
        <v>9122</v>
      </c>
      <c r="AM404" s="104" t="s">
        <v>557</v>
      </c>
      <c r="AN404" s="192" t="s">
        <v>113</v>
      </c>
      <c r="AO404" s="65">
        <f>Q404*12</f>
        <v>95148.772482243701</v>
      </c>
      <c r="AP404" s="65">
        <f>R404*12</f>
        <v>31716.257494081234</v>
      </c>
      <c r="AQ404" s="65">
        <f t="shared" ref="AQ404:AZ404" si="558">X404*12</f>
        <v>0</v>
      </c>
      <c r="AR404" s="65">
        <f t="shared" si="558"/>
        <v>6598.2382080000007</v>
      </c>
      <c r="AS404" s="65">
        <f t="shared" si="558"/>
        <v>0</v>
      </c>
      <c r="AT404" s="65">
        <f t="shared" si="558"/>
        <v>15858.128747040617</v>
      </c>
      <c r="AU404" s="65">
        <f t="shared" si="558"/>
        <v>3171.6257494081237</v>
      </c>
      <c r="AV404" s="65">
        <f t="shared" si="558"/>
        <v>22129.621592199474</v>
      </c>
      <c r="AW404" s="65">
        <f t="shared" si="558"/>
        <v>12046.135879554075</v>
      </c>
      <c r="AX404" s="65">
        <f t="shared" si="558"/>
        <v>7524.1323420075423</v>
      </c>
      <c r="AY404" s="65">
        <f t="shared" si="558"/>
        <v>0</v>
      </c>
      <c r="AZ404" s="65">
        <f t="shared" si="558"/>
        <v>4376.8435341832101</v>
      </c>
      <c r="BA404" s="50"/>
      <c r="BB404" s="64"/>
      <c r="BC404" s="66"/>
      <c r="BD404" s="66"/>
      <c r="BE404" s="66"/>
      <c r="BF404" s="50"/>
      <c r="BG404" s="50"/>
      <c r="BH404" s="50"/>
      <c r="BI404" s="50"/>
      <c r="BJ404" s="50"/>
      <c r="BK404" s="50"/>
      <c r="BL404" s="50"/>
      <c r="BM404" s="50"/>
      <c r="BN404" s="50"/>
      <c r="BO404" s="50"/>
      <c r="BP404" s="50"/>
      <c r="BQ404" s="50"/>
      <c r="BR404" s="50"/>
      <c r="BS404" s="50"/>
      <c r="BT404" s="50"/>
      <c r="BU404" s="50"/>
      <c r="BV404" s="50"/>
      <c r="BW404" s="50"/>
      <c r="BX404" s="50"/>
      <c r="BY404" s="50"/>
      <c r="BZ404" s="50"/>
      <c r="CA404" s="50"/>
      <c r="CB404" s="50"/>
      <c r="CC404" s="50"/>
      <c r="CD404" s="50"/>
      <c r="CE404" s="50"/>
      <c r="CF404" s="50"/>
      <c r="CG404" s="50"/>
      <c r="CH404" s="50"/>
      <c r="CI404" s="50"/>
      <c r="CJ404" s="50"/>
      <c r="CK404" s="50"/>
      <c r="CL404" s="50"/>
      <c r="CM404" s="50"/>
      <c r="CN404" s="50"/>
      <c r="CO404" s="50"/>
      <c r="CP404" s="50"/>
      <c r="CQ404" s="50"/>
      <c r="CR404" s="50"/>
      <c r="CS404" s="50"/>
      <c r="CT404" s="50"/>
      <c r="CU404" s="50"/>
      <c r="CV404" s="50"/>
      <c r="CW404" s="50"/>
      <c r="CX404" s="50"/>
      <c r="CY404" s="50"/>
      <c r="CZ404" s="50"/>
      <c r="DA404" s="50"/>
      <c r="DB404" s="50"/>
      <c r="DC404" s="50"/>
      <c r="DD404" s="50"/>
      <c r="DE404" s="50"/>
      <c r="DF404" s="50"/>
      <c r="DG404" s="50"/>
      <c r="DH404" s="50"/>
      <c r="DI404" s="50"/>
      <c r="DJ404" s="50"/>
      <c r="DK404" s="50"/>
      <c r="DL404" s="50"/>
      <c r="DM404" s="50"/>
      <c r="DN404" s="50"/>
      <c r="DO404" s="50"/>
      <c r="DP404" s="50"/>
      <c r="DQ404" s="50"/>
      <c r="DR404" s="50"/>
      <c r="DS404" s="50"/>
      <c r="DT404" s="50"/>
      <c r="DU404" s="50"/>
      <c r="DV404" s="50"/>
      <c r="DW404" s="50"/>
      <c r="DX404" s="50"/>
      <c r="DY404" s="50"/>
      <c r="DZ404" s="50"/>
      <c r="EA404" s="50"/>
      <c r="EB404" s="50"/>
      <c r="EC404" s="50"/>
      <c r="ED404" s="50"/>
      <c r="EE404" s="50"/>
      <c r="EF404" s="50"/>
      <c r="EG404" s="50"/>
      <c r="EH404" s="50"/>
      <c r="EI404" s="50"/>
      <c r="EJ404" s="50"/>
      <c r="EK404" s="50"/>
      <c r="EL404" s="50"/>
      <c r="EM404" s="50"/>
      <c r="EN404" s="50"/>
      <c r="EO404" s="50"/>
      <c r="EP404" s="50"/>
      <c r="EQ404" s="50"/>
      <c r="ER404" s="50"/>
      <c r="ES404" s="50"/>
      <c r="ET404" s="50"/>
      <c r="EU404" s="50"/>
      <c r="EV404" s="50"/>
      <c r="EW404" s="50"/>
      <c r="EX404" s="50"/>
      <c r="EY404" s="50"/>
      <c r="EZ404" s="50"/>
      <c r="FA404" s="50"/>
      <c r="FB404" s="50"/>
      <c r="FC404" s="50"/>
      <c r="FD404" s="50"/>
      <c r="FE404" s="50"/>
      <c r="FF404" s="50"/>
      <c r="FG404" s="50"/>
      <c r="FH404" s="50"/>
      <c r="FI404" s="50"/>
      <c r="FJ404" s="50"/>
      <c r="FK404" s="50"/>
      <c r="FL404" s="50"/>
      <c r="FM404" s="50"/>
      <c r="FN404" s="50"/>
      <c r="FO404" s="50"/>
      <c r="FP404" s="50"/>
      <c r="FQ404" s="50"/>
      <c r="FR404" s="50"/>
      <c r="FS404" s="50"/>
      <c r="FT404" s="50"/>
      <c r="FU404" s="50"/>
    </row>
    <row r="405" spans="1:177" s="364" customFormat="1" ht="21" customHeight="1" x14ac:dyDescent="0.2">
      <c r="B405" s="369">
        <v>13</v>
      </c>
      <c r="C405" s="372" t="s">
        <v>66</v>
      </c>
      <c r="D405" s="365"/>
      <c r="E405" s="375" t="s">
        <v>55</v>
      </c>
      <c r="F405" s="371" t="s">
        <v>113</v>
      </c>
      <c r="G405" s="189"/>
      <c r="H405" s="56"/>
      <c r="I405" s="57">
        <v>4913.4815915534682</v>
      </c>
      <c r="J405" s="57"/>
      <c r="K405" s="57"/>
      <c r="L405" s="59"/>
      <c r="M405" s="60">
        <v>4.0000000000000002E-4</v>
      </c>
      <c r="N405" s="61">
        <f t="shared" ref="N405:N412" si="559">I405*0.04</f>
        <v>196.53926366213872</v>
      </c>
      <c r="O405" s="58">
        <f t="shared" si="541"/>
        <v>5110.0208552156073</v>
      </c>
      <c r="P405" s="61">
        <f t="shared" si="542"/>
        <v>10220.041710431215</v>
      </c>
      <c r="Q405" s="61">
        <f t="shared" si="543"/>
        <v>7665.0312828234109</v>
      </c>
      <c r="R405" s="61">
        <f t="shared" si="544"/>
        <v>2555.0104276078036</v>
      </c>
      <c r="S405" s="61">
        <f t="shared" si="545"/>
        <v>340.6680570143738</v>
      </c>
      <c r="T405" s="58">
        <f t="shared" si="546"/>
        <v>391.05286264679967</v>
      </c>
      <c r="U405" s="61">
        <f t="shared" si="547"/>
        <v>3832.5156414117055</v>
      </c>
      <c r="V405" s="58">
        <f t="shared" si="548"/>
        <v>1277.5052138039018</v>
      </c>
      <c r="W405" s="101">
        <v>0</v>
      </c>
      <c r="X405" s="63">
        <f t="shared" si="549"/>
        <v>0</v>
      </c>
      <c r="Y405" s="61">
        <v>520.99466757118705</v>
      </c>
      <c r="Z405" s="61">
        <v>0</v>
      </c>
      <c r="AA405" s="61">
        <f t="shared" si="550"/>
        <v>1277.5052138039018</v>
      </c>
      <c r="AB405" s="61">
        <f t="shared" si="551"/>
        <v>255.50104276078036</v>
      </c>
      <c r="AC405" s="61">
        <v>1800.9879474527625</v>
      </c>
      <c r="AD405" s="61">
        <v>970.41723130116566</v>
      </c>
      <c r="AE405" s="61">
        <v>606.1319371025395</v>
      </c>
      <c r="AF405" s="61">
        <v>0</v>
      </c>
      <c r="AG405" s="61">
        <f t="shared" si="552"/>
        <v>352.59143900987692</v>
      </c>
      <c r="AH405" s="64"/>
      <c r="AI405" s="64"/>
      <c r="AJ405" s="369">
        <v>13</v>
      </c>
      <c r="AK405" s="372" t="s">
        <v>66</v>
      </c>
      <c r="AL405" s="365"/>
      <c r="AM405" s="375" t="s">
        <v>55</v>
      </c>
      <c r="AN405" s="371" t="s">
        <v>113</v>
      </c>
      <c r="AO405" s="368">
        <f>Q405*9.5</f>
        <v>72817.797186822398</v>
      </c>
      <c r="AP405" s="368">
        <f>R405*9.5</f>
        <v>24272.599062274134</v>
      </c>
      <c r="AQ405" s="368">
        <f t="shared" ref="AQ405:AZ405" si="560">X405*9.5</f>
        <v>0</v>
      </c>
      <c r="AR405" s="368">
        <f t="shared" si="560"/>
        <v>4949.4493419262772</v>
      </c>
      <c r="AS405" s="368">
        <f t="shared" si="560"/>
        <v>0</v>
      </c>
      <c r="AT405" s="368">
        <f t="shared" si="560"/>
        <v>12136.299531137067</v>
      </c>
      <c r="AU405" s="368">
        <f t="shared" si="560"/>
        <v>2427.2599062274135</v>
      </c>
      <c r="AV405" s="368">
        <f t="shared" si="560"/>
        <v>17109.385500801243</v>
      </c>
      <c r="AW405" s="368">
        <f t="shared" si="560"/>
        <v>9218.9636973610741</v>
      </c>
      <c r="AX405" s="368">
        <f t="shared" si="560"/>
        <v>5758.2534024741253</v>
      </c>
      <c r="AY405" s="368">
        <f t="shared" si="560"/>
        <v>0</v>
      </c>
      <c r="AZ405" s="368">
        <f t="shared" si="560"/>
        <v>3349.6186705938308</v>
      </c>
      <c r="BB405" s="64"/>
      <c r="BC405" s="66"/>
      <c r="BD405" s="66"/>
      <c r="BE405" s="66"/>
    </row>
    <row r="406" spans="1:177" s="364" customFormat="1" ht="21" customHeight="1" x14ac:dyDescent="0.2">
      <c r="B406" s="369">
        <v>14</v>
      </c>
      <c r="C406" s="372" t="s">
        <v>66</v>
      </c>
      <c r="D406" s="365">
        <v>12091</v>
      </c>
      <c r="E406" s="372" t="s">
        <v>558</v>
      </c>
      <c r="F406" s="371" t="s">
        <v>113</v>
      </c>
      <c r="G406" s="398">
        <v>44501</v>
      </c>
      <c r="H406" s="56" t="str">
        <f t="shared" ref="H406:H421" si="561" xml:space="preserve"> CONCATENATE(DATEDIF(G406,H$5,"Y")," AÑOS")</f>
        <v>3 AÑOS</v>
      </c>
      <c r="I406" s="57">
        <v>6473.7189041991969</v>
      </c>
      <c r="J406" s="57"/>
      <c r="K406" s="57"/>
      <c r="L406" s="74"/>
      <c r="M406" s="60">
        <v>4.0000000000000002E-4</v>
      </c>
      <c r="N406" s="61">
        <f t="shared" si="559"/>
        <v>258.94875616796787</v>
      </c>
      <c r="O406" s="58">
        <f t="shared" si="541"/>
        <v>6732.6676603671649</v>
      </c>
      <c r="P406" s="61">
        <f t="shared" si="542"/>
        <v>13465.33532073433</v>
      </c>
      <c r="Q406" s="61">
        <f t="shared" si="543"/>
        <v>10099.001490550747</v>
      </c>
      <c r="R406" s="61">
        <f t="shared" si="544"/>
        <v>3366.3338301835824</v>
      </c>
      <c r="S406" s="61">
        <f t="shared" si="545"/>
        <v>448.84451069114431</v>
      </c>
      <c r="T406" s="58">
        <f t="shared" si="546"/>
        <v>515.22861382236454</v>
      </c>
      <c r="U406" s="61">
        <f t="shared" si="547"/>
        <v>5049.5007452753734</v>
      </c>
      <c r="V406" s="58">
        <f t="shared" si="548"/>
        <v>1683.1669150917912</v>
      </c>
      <c r="W406" s="62">
        <v>0</v>
      </c>
      <c r="X406" s="63">
        <f t="shared" si="549"/>
        <v>0</v>
      </c>
      <c r="Y406" s="61">
        <v>785.81062617192117</v>
      </c>
      <c r="Z406" s="61">
        <v>0</v>
      </c>
      <c r="AA406" s="61">
        <f t="shared" si="550"/>
        <v>1683.1669150917912</v>
      </c>
      <c r="AB406" s="61">
        <f t="shared" si="551"/>
        <v>336.63338301835824</v>
      </c>
      <c r="AC406" s="61">
        <v>2198.7371959322072</v>
      </c>
      <c r="AD406" s="61">
        <v>1350.4399582591086</v>
      </c>
      <c r="AE406" s="61">
        <v>798.60435142466508</v>
      </c>
      <c r="AF406" s="61">
        <v>0</v>
      </c>
      <c r="AG406" s="61">
        <f t="shared" si="552"/>
        <v>464.55406856533432</v>
      </c>
      <c r="AH406" s="64"/>
      <c r="AI406" s="64"/>
      <c r="AJ406" s="369">
        <v>14</v>
      </c>
      <c r="AK406" s="372" t="s">
        <v>66</v>
      </c>
      <c r="AL406" s="365">
        <v>12091</v>
      </c>
      <c r="AM406" s="372" t="s">
        <v>558</v>
      </c>
      <c r="AN406" s="371" t="s">
        <v>113</v>
      </c>
      <c r="AO406" s="368">
        <f t="shared" ref="AO406:AP408" si="562">Q406*12</f>
        <v>121188.01788660896</v>
      </c>
      <c r="AP406" s="368">
        <f t="shared" si="562"/>
        <v>40396.005962202988</v>
      </c>
      <c r="AQ406" s="368">
        <f t="shared" ref="AQ406:AZ408" si="563">X406*12</f>
        <v>0</v>
      </c>
      <c r="AR406" s="368">
        <f t="shared" si="563"/>
        <v>9429.7275140630536</v>
      </c>
      <c r="AS406" s="368">
        <f t="shared" si="563"/>
        <v>0</v>
      </c>
      <c r="AT406" s="368">
        <f t="shared" si="563"/>
        <v>20198.002981101494</v>
      </c>
      <c r="AU406" s="368">
        <f t="shared" si="563"/>
        <v>4039.6005962202989</v>
      </c>
      <c r="AV406" s="368">
        <f t="shared" si="563"/>
        <v>26384.846351186487</v>
      </c>
      <c r="AW406" s="368">
        <f t="shared" si="563"/>
        <v>16205.279499109303</v>
      </c>
      <c r="AX406" s="368">
        <f t="shared" si="563"/>
        <v>9583.2522170959819</v>
      </c>
      <c r="AY406" s="368">
        <f t="shared" si="563"/>
        <v>0</v>
      </c>
      <c r="AZ406" s="368">
        <f t="shared" si="563"/>
        <v>5574.6488227840118</v>
      </c>
      <c r="BB406" s="64"/>
      <c r="BC406" s="66"/>
      <c r="BD406" s="66"/>
      <c r="BE406" s="66"/>
    </row>
    <row r="407" spans="1:177" s="364" customFormat="1" ht="21" customHeight="1" x14ac:dyDescent="0.2">
      <c r="B407" s="365">
        <v>15</v>
      </c>
      <c r="C407" s="372" t="s">
        <v>66</v>
      </c>
      <c r="D407" s="365">
        <v>14103</v>
      </c>
      <c r="E407" s="371" t="s">
        <v>559</v>
      </c>
      <c r="F407" s="423" t="s">
        <v>113</v>
      </c>
      <c r="G407" s="398">
        <v>44852</v>
      </c>
      <c r="H407" s="56" t="str">
        <f t="shared" si="561"/>
        <v>2 AÑOS</v>
      </c>
      <c r="I407" s="57">
        <v>6473.7189041991969</v>
      </c>
      <c r="J407" s="57"/>
      <c r="K407" s="57"/>
      <c r="L407" s="59"/>
      <c r="M407" s="60">
        <v>4.0000000000000002E-4</v>
      </c>
      <c r="N407" s="61">
        <f t="shared" si="559"/>
        <v>258.94875616796787</v>
      </c>
      <c r="O407" s="58">
        <f t="shared" si="541"/>
        <v>6732.6676603671649</v>
      </c>
      <c r="P407" s="61">
        <f t="shared" si="542"/>
        <v>13465.33532073433</v>
      </c>
      <c r="Q407" s="61">
        <f t="shared" si="543"/>
        <v>10099.001490550747</v>
      </c>
      <c r="R407" s="61">
        <f t="shared" si="544"/>
        <v>3366.3338301835824</v>
      </c>
      <c r="S407" s="61">
        <f t="shared" si="545"/>
        <v>448.84451069114431</v>
      </c>
      <c r="T407" s="58">
        <f t="shared" si="546"/>
        <v>515.22861382236454</v>
      </c>
      <c r="U407" s="61">
        <f t="shared" si="547"/>
        <v>5049.5007452753734</v>
      </c>
      <c r="V407" s="58">
        <f t="shared" si="548"/>
        <v>1683.1669150917912</v>
      </c>
      <c r="W407" s="101">
        <v>0</v>
      </c>
      <c r="X407" s="63">
        <f t="shared" si="549"/>
        <v>0</v>
      </c>
      <c r="Y407" s="61">
        <v>785.81062617192117</v>
      </c>
      <c r="Z407" s="61">
        <v>0</v>
      </c>
      <c r="AA407" s="61">
        <f t="shared" si="550"/>
        <v>1683.1669150917912</v>
      </c>
      <c r="AB407" s="61">
        <f t="shared" si="551"/>
        <v>336.63338301835824</v>
      </c>
      <c r="AC407" s="61">
        <v>2198.7371959322072</v>
      </c>
      <c r="AD407" s="61">
        <v>1350.4399582591086</v>
      </c>
      <c r="AE407" s="61">
        <v>798.60435142466508</v>
      </c>
      <c r="AF407" s="61">
        <v>0</v>
      </c>
      <c r="AG407" s="61">
        <f t="shared" si="552"/>
        <v>464.55406856533432</v>
      </c>
      <c r="AH407" s="64"/>
      <c r="AI407" s="64"/>
      <c r="AJ407" s="365">
        <v>15</v>
      </c>
      <c r="AK407" s="372" t="s">
        <v>66</v>
      </c>
      <c r="AL407" s="365">
        <v>14103</v>
      </c>
      <c r="AM407" s="371" t="s">
        <v>559</v>
      </c>
      <c r="AN407" s="423" t="s">
        <v>113</v>
      </c>
      <c r="AO407" s="368">
        <f t="shared" si="562"/>
        <v>121188.01788660896</v>
      </c>
      <c r="AP407" s="368">
        <f t="shared" si="562"/>
        <v>40396.005962202988</v>
      </c>
      <c r="AQ407" s="368">
        <f t="shared" si="563"/>
        <v>0</v>
      </c>
      <c r="AR407" s="368">
        <f t="shared" si="563"/>
        <v>9429.7275140630536</v>
      </c>
      <c r="AS407" s="368">
        <f t="shared" si="563"/>
        <v>0</v>
      </c>
      <c r="AT407" s="368">
        <f t="shared" si="563"/>
        <v>20198.002981101494</v>
      </c>
      <c r="AU407" s="368">
        <f t="shared" si="563"/>
        <v>4039.6005962202989</v>
      </c>
      <c r="AV407" s="368">
        <f t="shared" si="563"/>
        <v>26384.846351186487</v>
      </c>
      <c r="AW407" s="368">
        <f t="shared" si="563"/>
        <v>16205.279499109303</v>
      </c>
      <c r="AX407" s="368">
        <f t="shared" si="563"/>
        <v>9583.2522170959819</v>
      </c>
      <c r="AY407" s="368">
        <f t="shared" si="563"/>
        <v>0</v>
      </c>
      <c r="AZ407" s="368">
        <f t="shared" si="563"/>
        <v>5574.6488227840118</v>
      </c>
      <c r="BB407" s="64"/>
      <c r="BC407" s="66"/>
      <c r="BD407" s="66"/>
      <c r="BE407" s="66"/>
    </row>
    <row r="408" spans="1:177" s="364" customFormat="1" ht="21" customHeight="1" x14ac:dyDescent="0.2">
      <c r="B408" s="369">
        <v>16</v>
      </c>
      <c r="C408" s="372" t="s">
        <v>66</v>
      </c>
      <c r="D408" s="365">
        <v>12069</v>
      </c>
      <c r="E408" s="372" t="s">
        <v>560</v>
      </c>
      <c r="F408" s="416" t="s">
        <v>561</v>
      </c>
      <c r="G408" s="55">
        <v>41400</v>
      </c>
      <c r="H408" s="56" t="str">
        <f t="shared" si="561"/>
        <v>11 AÑOS</v>
      </c>
      <c r="I408" s="57">
        <v>4894.4866299329215</v>
      </c>
      <c r="J408" s="58"/>
      <c r="K408" s="108"/>
      <c r="L408" s="173"/>
      <c r="M408" s="60">
        <v>4.0000000000000002E-4</v>
      </c>
      <c r="N408" s="61">
        <f t="shared" si="559"/>
        <v>195.77946519731685</v>
      </c>
      <c r="O408" s="58">
        <f t="shared" si="541"/>
        <v>5090.2660951302387</v>
      </c>
      <c r="P408" s="61">
        <f t="shared" si="542"/>
        <v>10180.532190260477</v>
      </c>
      <c r="Q408" s="61">
        <f t="shared" si="543"/>
        <v>7635.399142695358</v>
      </c>
      <c r="R408" s="61">
        <f t="shared" si="544"/>
        <v>2545.1330475651193</v>
      </c>
      <c r="S408" s="61">
        <f t="shared" si="545"/>
        <v>339.35107300868259</v>
      </c>
      <c r="T408" s="58">
        <f t="shared" si="546"/>
        <v>389.54109670666674</v>
      </c>
      <c r="U408" s="61">
        <f t="shared" si="547"/>
        <v>3817.699571347679</v>
      </c>
      <c r="V408" s="58">
        <f t="shared" si="548"/>
        <v>1272.5665237825597</v>
      </c>
      <c r="W408" s="62">
        <v>0.05</v>
      </c>
      <c r="X408" s="63">
        <f t="shared" si="549"/>
        <v>509.02660951302391</v>
      </c>
      <c r="Y408" s="61">
        <v>517.77</v>
      </c>
      <c r="Z408" s="61">
        <v>0</v>
      </c>
      <c r="AA408" s="61">
        <f t="shared" si="550"/>
        <v>1272.5665237825597</v>
      </c>
      <c r="AB408" s="61">
        <f t="shared" si="551"/>
        <v>254.51330475651196</v>
      </c>
      <c r="AC408" s="61">
        <v>1796.1455868399037</v>
      </c>
      <c r="AD408" s="61">
        <v>966.66570853242888</v>
      </c>
      <c r="AE408" s="61">
        <v>603.78869989533348</v>
      </c>
      <c r="AF408" s="61">
        <v>0</v>
      </c>
      <c r="AG408" s="61">
        <f t="shared" si="552"/>
        <v>351.22836056398648</v>
      </c>
      <c r="AH408" s="64"/>
      <c r="AI408" s="64"/>
      <c r="AJ408" s="369">
        <v>16</v>
      </c>
      <c r="AK408" s="372" t="s">
        <v>66</v>
      </c>
      <c r="AL408" s="365">
        <v>12069</v>
      </c>
      <c r="AM408" s="372" t="s">
        <v>560</v>
      </c>
      <c r="AN408" s="416" t="s">
        <v>561</v>
      </c>
      <c r="AO408" s="368">
        <f t="shared" si="562"/>
        <v>91624.789712344296</v>
      </c>
      <c r="AP408" s="368">
        <f t="shared" si="562"/>
        <v>30541.596570781432</v>
      </c>
      <c r="AQ408" s="368">
        <f t="shared" si="563"/>
        <v>6108.319314156287</v>
      </c>
      <c r="AR408" s="368">
        <f t="shared" si="563"/>
        <v>6213.24</v>
      </c>
      <c r="AS408" s="368">
        <f t="shared" si="563"/>
        <v>0</v>
      </c>
      <c r="AT408" s="368">
        <f t="shared" si="563"/>
        <v>15270.798285390716</v>
      </c>
      <c r="AU408" s="368">
        <f t="shared" si="563"/>
        <v>3054.1596570781435</v>
      </c>
      <c r="AV408" s="368">
        <f t="shared" si="563"/>
        <v>21553.747042078845</v>
      </c>
      <c r="AW408" s="368">
        <f t="shared" si="563"/>
        <v>11599.988502389147</v>
      </c>
      <c r="AX408" s="368">
        <f t="shared" si="563"/>
        <v>7245.4643987440013</v>
      </c>
      <c r="AY408" s="368">
        <f t="shared" si="563"/>
        <v>0</v>
      </c>
      <c r="AZ408" s="368">
        <f t="shared" si="563"/>
        <v>4214.7403267678383</v>
      </c>
      <c r="BB408" s="64"/>
      <c r="BC408" s="66"/>
      <c r="BD408" s="66"/>
      <c r="BE408" s="66"/>
    </row>
    <row r="409" spans="1:177" s="364" customFormat="1" ht="21" customHeight="1" x14ac:dyDescent="0.2">
      <c r="B409" s="369">
        <v>17</v>
      </c>
      <c r="C409" s="372" t="s">
        <v>66</v>
      </c>
      <c r="D409" s="365">
        <v>9142</v>
      </c>
      <c r="E409" s="372" t="s">
        <v>562</v>
      </c>
      <c r="F409" s="424" t="s">
        <v>563</v>
      </c>
      <c r="G409" s="425">
        <v>45459</v>
      </c>
      <c r="H409" s="56" t="str">
        <f t="shared" si="561"/>
        <v>0 AÑOS</v>
      </c>
      <c r="I409" s="57">
        <v>6063.9865602582386</v>
      </c>
      <c r="J409" s="58"/>
      <c r="K409" s="57"/>
      <c r="L409" s="59"/>
      <c r="M409" s="60">
        <v>4.0000000000000002E-4</v>
      </c>
      <c r="N409" s="61">
        <f t="shared" si="559"/>
        <v>242.55946241032956</v>
      </c>
      <c r="O409" s="58">
        <f t="shared" si="541"/>
        <v>6306.5460226685682</v>
      </c>
      <c r="P409" s="61">
        <f t="shared" si="542"/>
        <v>12613.092045337136</v>
      </c>
      <c r="Q409" s="61">
        <f t="shared" si="543"/>
        <v>9459.8190340028523</v>
      </c>
      <c r="R409" s="61">
        <f t="shared" si="544"/>
        <v>3153.2730113342841</v>
      </c>
      <c r="S409" s="61">
        <f t="shared" si="545"/>
        <v>420.43640151123788</v>
      </c>
      <c r="T409" s="58">
        <f t="shared" si="546"/>
        <v>482.61894529474995</v>
      </c>
      <c r="U409" s="61">
        <f t="shared" si="547"/>
        <v>4729.9095170014261</v>
      </c>
      <c r="V409" s="58">
        <f t="shared" si="548"/>
        <v>1576.636505667142</v>
      </c>
      <c r="W409" s="62">
        <v>0</v>
      </c>
      <c r="X409" s="63">
        <f t="shared" si="549"/>
        <v>0</v>
      </c>
      <c r="Y409" s="61">
        <v>716.26757489951024</v>
      </c>
      <c r="Z409" s="61">
        <v>0</v>
      </c>
      <c r="AA409" s="61">
        <f t="shared" si="550"/>
        <v>1576.636505667142</v>
      </c>
      <c r="AB409" s="61">
        <f t="shared" si="551"/>
        <v>315.32730113342842</v>
      </c>
      <c r="AC409" s="61">
        <v>2094.2846677434763</v>
      </c>
      <c r="AD409" s="61">
        <v>1264.9683865648044</v>
      </c>
      <c r="AE409" s="61">
        <v>748.05936520686248</v>
      </c>
      <c r="AF409" s="61">
        <v>0</v>
      </c>
      <c r="AG409" s="61">
        <f t="shared" si="552"/>
        <v>435.15167556413115</v>
      </c>
      <c r="AH409" s="64"/>
      <c r="AI409" s="64"/>
      <c r="AJ409" s="369">
        <v>17</v>
      </c>
      <c r="AK409" s="372" t="s">
        <v>66</v>
      </c>
      <c r="AL409" s="365">
        <v>9142</v>
      </c>
      <c r="AM409" s="372" t="s">
        <v>562</v>
      </c>
      <c r="AN409" s="424" t="s">
        <v>563</v>
      </c>
      <c r="AO409" s="368">
        <f t="shared" ref="AO409:AP410" si="564">Q409*3</f>
        <v>28379.457102008557</v>
      </c>
      <c r="AP409" s="368">
        <f t="shared" si="564"/>
        <v>9459.8190340028523</v>
      </c>
      <c r="AQ409" s="368">
        <f t="shared" ref="AQ409:AZ410" si="565">X409*3</f>
        <v>0</v>
      </c>
      <c r="AR409" s="368">
        <f t="shared" si="565"/>
        <v>2148.8027246985307</v>
      </c>
      <c r="AS409" s="368">
        <f t="shared" si="565"/>
        <v>0</v>
      </c>
      <c r="AT409" s="368">
        <f t="shared" si="565"/>
        <v>4729.9095170014261</v>
      </c>
      <c r="AU409" s="368">
        <f t="shared" si="565"/>
        <v>945.98190340028532</v>
      </c>
      <c r="AV409" s="368">
        <f t="shared" si="565"/>
        <v>6282.854003230429</v>
      </c>
      <c r="AW409" s="368">
        <f t="shared" si="565"/>
        <v>3794.9051596944132</v>
      </c>
      <c r="AX409" s="368">
        <f t="shared" si="565"/>
        <v>2244.1780956205876</v>
      </c>
      <c r="AY409" s="368">
        <f t="shared" si="565"/>
        <v>0</v>
      </c>
      <c r="AZ409" s="368">
        <f t="shared" si="565"/>
        <v>1305.4550266923934</v>
      </c>
      <c r="BB409" s="64"/>
      <c r="BC409" s="66"/>
      <c r="BD409" s="66"/>
      <c r="BE409" s="66"/>
    </row>
    <row r="410" spans="1:177" s="364" customFormat="1" ht="21" customHeight="1" x14ac:dyDescent="0.2">
      <c r="B410" s="365">
        <v>18</v>
      </c>
      <c r="C410" s="372" t="s">
        <v>66</v>
      </c>
      <c r="D410" s="365">
        <v>11191</v>
      </c>
      <c r="E410" s="372" t="s">
        <v>564</v>
      </c>
      <c r="F410" s="421" t="s">
        <v>487</v>
      </c>
      <c r="G410" s="55">
        <v>45459</v>
      </c>
      <c r="H410" s="56" t="str">
        <f t="shared" si="561"/>
        <v>0 AÑOS</v>
      </c>
      <c r="I410" s="57">
        <v>4894.4866299329215</v>
      </c>
      <c r="J410" s="58"/>
      <c r="K410" s="57"/>
      <c r="L410" s="59"/>
      <c r="M410" s="60">
        <v>4.0000000000000002E-4</v>
      </c>
      <c r="N410" s="61">
        <f t="shared" si="559"/>
        <v>195.77946519731685</v>
      </c>
      <c r="O410" s="58">
        <f t="shared" si="541"/>
        <v>5090.2660951302387</v>
      </c>
      <c r="P410" s="61">
        <f t="shared" si="542"/>
        <v>10180.532190260477</v>
      </c>
      <c r="Q410" s="61">
        <f t="shared" si="543"/>
        <v>7635.399142695358</v>
      </c>
      <c r="R410" s="61">
        <f t="shared" si="544"/>
        <v>2545.1330475651193</v>
      </c>
      <c r="S410" s="61">
        <f t="shared" si="545"/>
        <v>339.35107300868259</v>
      </c>
      <c r="T410" s="58">
        <f t="shared" si="546"/>
        <v>389.54109670666674</v>
      </c>
      <c r="U410" s="61">
        <f t="shared" si="547"/>
        <v>3817.699571347679</v>
      </c>
      <c r="V410" s="58">
        <f t="shared" si="548"/>
        <v>1272.5665237825597</v>
      </c>
      <c r="W410" s="62"/>
      <c r="X410" s="63">
        <f t="shared" si="549"/>
        <v>0</v>
      </c>
      <c r="Y410" s="61">
        <v>517.77069072525489</v>
      </c>
      <c r="Z410" s="61">
        <v>0</v>
      </c>
      <c r="AA410" s="61">
        <f t="shared" si="550"/>
        <v>1272.5665237825597</v>
      </c>
      <c r="AB410" s="61">
        <f t="shared" si="551"/>
        <v>254.51330475651196</v>
      </c>
      <c r="AC410" s="61">
        <v>1796.1455868399037</v>
      </c>
      <c r="AD410" s="61">
        <v>966.66570853242888</v>
      </c>
      <c r="AE410" s="61">
        <v>603.78869989533348</v>
      </c>
      <c r="AF410" s="61">
        <v>0</v>
      </c>
      <c r="AG410" s="61">
        <f t="shared" si="552"/>
        <v>351.22836056398648</v>
      </c>
      <c r="AH410" s="64"/>
      <c r="AI410" s="64"/>
      <c r="AJ410" s="365">
        <v>18</v>
      </c>
      <c r="AK410" s="372" t="s">
        <v>66</v>
      </c>
      <c r="AL410" s="365">
        <v>11191</v>
      </c>
      <c r="AM410" s="372" t="s">
        <v>564</v>
      </c>
      <c r="AN410" s="421" t="s">
        <v>487</v>
      </c>
      <c r="AO410" s="368">
        <f t="shared" si="564"/>
        <v>22906.197428086074</v>
      </c>
      <c r="AP410" s="368">
        <f t="shared" si="564"/>
        <v>7635.399142695358</v>
      </c>
      <c r="AQ410" s="368">
        <f t="shared" si="565"/>
        <v>0</v>
      </c>
      <c r="AR410" s="368">
        <f t="shared" si="565"/>
        <v>1553.3120721757646</v>
      </c>
      <c r="AS410" s="368">
        <f t="shared" si="565"/>
        <v>0</v>
      </c>
      <c r="AT410" s="368">
        <f t="shared" si="565"/>
        <v>3817.699571347679</v>
      </c>
      <c r="AU410" s="368">
        <f t="shared" si="565"/>
        <v>763.53991426953587</v>
      </c>
      <c r="AV410" s="368">
        <f t="shared" si="565"/>
        <v>5388.4367605197112</v>
      </c>
      <c r="AW410" s="368">
        <f t="shared" si="565"/>
        <v>2899.9971255972869</v>
      </c>
      <c r="AX410" s="368">
        <f t="shared" si="565"/>
        <v>1811.3660996860003</v>
      </c>
      <c r="AY410" s="368">
        <f t="shared" si="565"/>
        <v>0</v>
      </c>
      <c r="AZ410" s="368">
        <f t="shared" si="565"/>
        <v>1053.6850816919596</v>
      </c>
      <c r="BB410" s="64"/>
      <c r="BC410" s="66"/>
      <c r="BD410" s="66"/>
      <c r="BE410" s="66"/>
    </row>
    <row r="411" spans="1:177" s="364" customFormat="1" ht="21" customHeight="1" x14ac:dyDescent="0.2">
      <c r="B411" s="369">
        <v>19</v>
      </c>
      <c r="C411" s="372" t="s">
        <v>66</v>
      </c>
      <c r="D411" s="396">
        <v>11107</v>
      </c>
      <c r="E411" s="112" t="s">
        <v>565</v>
      </c>
      <c r="F411" s="408" t="s">
        <v>487</v>
      </c>
      <c r="G411" s="55">
        <v>38384</v>
      </c>
      <c r="H411" s="56" t="str">
        <f t="shared" si="561"/>
        <v>19 AÑOS</v>
      </c>
      <c r="I411" s="57">
        <v>4894.4866299329215</v>
      </c>
      <c r="J411" s="58"/>
      <c r="K411" s="57"/>
      <c r="L411" s="59"/>
      <c r="M411" s="60">
        <v>4.0000000000000002E-4</v>
      </c>
      <c r="N411" s="61">
        <f t="shared" si="559"/>
        <v>195.77946519731685</v>
      </c>
      <c r="O411" s="58">
        <f t="shared" si="541"/>
        <v>5090.2660951302387</v>
      </c>
      <c r="P411" s="61">
        <f t="shared" si="542"/>
        <v>10180.532190260477</v>
      </c>
      <c r="Q411" s="61">
        <f t="shared" si="543"/>
        <v>7635.399142695358</v>
      </c>
      <c r="R411" s="61">
        <f t="shared" si="544"/>
        <v>2545.1330475651193</v>
      </c>
      <c r="S411" s="61">
        <f t="shared" si="545"/>
        <v>339.35107300868259</v>
      </c>
      <c r="T411" s="58">
        <f t="shared" si="546"/>
        <v>389.54109670666674</v>
      </c>
      <c r="U411" s="61">
        <f t="shared" si="547"/>
        <v>3817.699571347679</v>
      </c>
      <c r="V411" s="58">
        <f t="shared" si="548"/>
        <v>1272.5665237825597</v>
      </c>
      <c r="W411" s="62">
        <v>7.4999999999999997E-2</v>
      </c>
      <c r="X411" s="63">
        <f t="shared" si="549"/>
        <v>763.53991426953576</v>
      </c>
      <c r="Y411" s="61">
        <v>517.77069072525489</v>
      </c>
      <c r="Z411" s="61">
        <v>0</v>
      </c>
      <c r="AA411" s="61">
        <f t="shared" si="550"/>
        <v>1272.5665237825597</v>
      </c>
      <c r="AB411" s="61">
        <f t="shared" si="551"/>
        <v>254.51330475651196</v>
      </c>
      <c r="AC411" s="61">
        <v>1796.1455868399037</v>
      </c>
      <c r="AD411" s="61">
        <v>966.66570853242888</v>
      </c>
      <c r="AE411" s="61">
        <v>603.78869989533348</v>
      </c>
      <c r="AF411" s="61">
        <v>0</v>
      </c>
      <c r="AG411" s="61">
        <f t="shared" si="552"/>
        <v>351.22836056398648</v>
      </c>
      <c r="AH411" s="64"/>
      <c r="AI411" s="64"/>
      <c r="AJ411" s="369">
        <v>19</v>
      </c>
      <c r="AK411" s="372" t="s">
        <v>66</v>
      </c>
      <c r="AL411" s="396">
        <v>11107</v>
      </c>
      <c r="AM411" s="112" t="s">
        <v>565</v>
      </c>
      <c r="AN411" s="408" t="s">
        <v>487</v>
      </c>
      <c r="AO411" s="368">
        <f>Q411*12</f>
        <v>91624.789712344296</v>
      </c>
      <c r="AP411" s="368">
        <f>R411*12</f>
        <v>30541.596570781432</v>
      </c>
      <c r="AQ411" s="368">
        <f t="shared" ref="AQ411:AZ411" si="566">X411*12</f>
        <v>9162.4789712344282</v>
      </c>
      <c r="AR411" s="368">
        <f t="shared" si="566"/>
        <v>6213.2482887030583</v>
      </c>
      <c r="AS411" s="368">
        <f t="shared" si="566"/>
        <v>0</v>
      </c>
      <c r="AT411" s="368">
        <f t="shared" si="566"/>
        <v>15270.798285390716</v>
      </c>
      <c r="AU411" s="368">
        <f t="shared" si="566"/>
        <v>3054.1596570781435</v>
      </c>
      <c r="AV411" s="368">
        <f t="shared" si="566"/>
        <v>21553.747042078845</v>
      </c>
      <c r="AW411" s="368">
        <f t="shared" si="566"/>
        <v>11599.988502389147</v>
      </c>
      <c r="AX411" s="368">
        <f t="shared" si="566"/>
        <v>7245.4643987440013</v>
      </c>
      <c r="AY411" s="368">
        <f t="shared" si="566"/>
        <v>0</v>
      </c>
      <c r="AZ411" s="368">
        <f t="shared" si="566"/>
        <v>4214.7403267678383</v>
      </c>
      <c r="BB411" s="64"/>
      <c r="BC411" s="66"/>
      <c r="BD411" s="66"/>
      <c r="BE411" s="66"/>
    </row>
    <row r="412" spans="1:177" s="364" customFormat="1" ht="21" customHeight="1" x14ac:dyDescent="0.2">
      <c r="B412" s="369">
        <v>20</v>
      </c>
      <c r="C412" s="372" t="s">
        <v>66</v>
      </c>
      <c r="D412" s="365">
        <v>12084</v>
      </c>
      <c r="E412" s="371" t="s">
        <v>566</v>
      </c>
      <c r="F412" s="426" t="s">
        <v>567</v>
      </c>
      <c r="G412" s="363">
        <v>43468</v>
      </c>
      <c r="H412" s="56" t="str">
        <f t="shared" si="561"/>
        <v>5 AÑOS</v>
      </c>
      <c r="I412" s="57">
        <v>8681.822079229707</v>
      </c>
      <c r="J412" s="427"/>
      <c r="K412" s="108"/>
      <c r="L412" s="109"/>
      <c r="M412" s="60">
        <v>4.0000000000000002E-4</v>
      </c>
      <c r="N412" s="61">
        <f t="shared" si="559"/>
        <v>347.27288316918828</v>
      </c>
      <c r="O412" s="58">
        <f t="shared" si="541"/>
        <v>9029.0949623988945</v>
      </c>
      <c r="P412" s="61">
        <f t="shared" si="542"/>
        <v>18058.189924797789</v>
      </c>
      <c r="Q412" s="61">
        <f t="shared" si="543"/>
        <v>13543.642443598343</v>
      </c>
      <c r="R412" s="61">
        <f t="shared" si="544"/>
        <v>4514.5474811994472</v>
      </c>
      <c r="S412" s="61">
        <f t="shared" si="545"/>
        <v>601.93966415992634</v>
      </c>
      <c r="T412" s="58">
        <f t="shared" si="546"/>
        <v>690.96654048917935</v>
      </c>
      <c r="U412" s="61">
        <f t="shared" si="547"/>
        <v>6771.8212217991713</v>
      </c>
      <c r="V412" s="58">
        <f t="shared" si="548"/>
        <v>2257.2737405997236</v>
      </c>
      <c r="W412" s="101">
        <v>0</v>
      </c>
      <c r="X412" s="63">
        <f t="shared" si="549"/>
        <v>0</v>
      </c>
      <c r="Y412" s="61">
        <v>1306.77</v>
      </c>
      <c r="Z412" s="61">
        <v>0</v>
      </c>
      <c r="AA412" s="61">
        <f t="shared" si="550"/>
        <v>2257.2737405997236</v>
      </c>
      <c r="AB412" s="61">
        <f t="shared" si="551"/>
        <v>451.45474811994478</v>
      </c>
      <c r="AC412" s="61">
        <v>2761.6460376289601</v>
      </c>
      <c r="AD412" s="61">
        <v>1811.0578509491634</v>
      </c>
      <c r="AE412" s="61">
        <v>1070.998137758228</v>
      </c>
      <c r="AF412" s="61">
        <v>0</v>
      </c>
      <c r="AG412" s="61">
        <f t="shared" si="552"/>
        <v>623.00755240552371</v>
      </c>
      <c r="AH412" s="64"/>
      <c r="AI412" s="64"/>
      <c r="AJ412" s="369">
        <v>20</v>
      </c>
      <c r="AK412" s="372" t="s">
        <v>66</v>
      </c>
      <c r="AL412" s="365">
        <v>12084</v>
      </c>
      <c r="AM412" s="371" t="s">
        <v>566</v>
      </c>
      <c r="AN412" s="426" t="s">
        <v>567</v>
      </c>
      <c r="AO412" s="368">
        <f t="shared" ref="AO412:AP413" si="567">Q412*3</f>
        <v>40630.927330795028</v>
      </c>
      <c r="AP412" s="368">
        <f t="shared" si="567"/>
        <v>13543.642443598343</v>
      </c>
      <c r="AQ412" s="368">
        <f t="shared" ref="AQ412:AZ413" si="568">X412*3</f>
        <v>0</v>
      </c>
      <c r="AR412" s="368">
        <f t="shared" si="568"/>
        <v>3920.31</v>
      </c>
      <c r="AS412" s="368">
        <f t="shared" si="568"/>
        <v>0</v>
      </c>
      <c r="AT412" s="368">
        <f t="shared" si="568"/>
        <v>6771.8212217991713</v>
      </c>
      <c r="AU412" s="368">
        <f t="shared" si="568"/>
        <v>1354.3642443598344</v>
      </c>
      <c r="AV412" s="368">
        <f t="shared" si="568"/>
        <v>8284.9381128868808</v>
      </c>
      <c r="AW412" s="368">
        <f t="shared" si="568"/>
        <v>5433.1735528474901</v>
      </c>
      <c r="AX412" s="368">
        <f t="shared" si="568"/>
        <v>3212.9944132746841</v>
      </c>
      <c r="AY412" s="368">
        <f t="shared" si="568"/>
        <v>0</v>
      </c>
      <c r="AZ412" s="368">
        <f t="shared" si="568"/>
        <v>1869.0226572165711</v>
      </c>
      <c r="BB412" s="64"/>
      <c r="BC412" s="66"/>
      <c r="BD412" s="66"/>
      <c r="BE412" s="66"/>
    </row>
    <row r="413" spans="1:177" s="364" customFormat="1" ht="21" customHeight="1" x14ac:dyDescent="0.2">
      <c r="B413" s="365">
        <v>21</v>
      </c>
      <c r="C413" s="372" t="s">
        <v>66</v>
      </c>
      <c r="D413" s="365">
        <v>20014</v>
      </c>
      <c r="E413" s="372" t="s">
        <v>568</v>
      </c>
      <c r="F413" s="372" t="s">
        <v>569</v>
      </c>
      <c r="G413" s="363">
        <v>43475</v>
      </c>
      <c r="H413" s="56" t="str">
        <f t="shared" si="561"/>
        <v>5 AÑOS</v>
      </c>
      <c r="I413" s="57">
        <v>7245.0653411263565</v>
      </c>
      <c r="J413" s="57">
        <v>9029.27</v>
      </c>
      <c r="K413" s="108">
        <f>J413-I413</f>
        <v>1784.2046588736439</v>
      </c>
      <c r="L413" s="109">
        <f>K413*100/I413</f>
        <v>24.626481265057325</v>
      </c>
      <c r="M413" s="60">
        <v>2.4629999999999999E-3</v>
      </c>
      <c r="N413" s="61">
        <f>I413*0.246265</f>
        <v>1784.2060162324822</v>
      </c>
      <c r="O413" s="58">
        <f t="shared" si="541"/>
        <v>9029.2713573588389</v>
      </c>
      <c r="P413" s="61">
        <f t="shared" si="542"/>
        <v>18058.542714717678</v>
      </c>
      <c r="Q413" s="61">
        <f t="shared" si="543"/>
        <v>13543.907036038258</v>
      </c>
      <c r="R413" s="61">
        <f t="shared" si="544"/>
        <v>4514.6356786794195</v>
      </c>
      <c r="S413" s="61">
        <f t="shared" si="545"/>
        <v>601.9514238239226</v>
      </c>
      <c r="T413" s="58">
        <f t="shared" si="546"/>
        <v>690.98003940748072</v>
      </c>
      <c r="U413" s="61">
        <f t="shared" si="547"/>
        <v>6771.9535180191288</v>
      </c>
      <c r="V413" s="58">
        <f t="shared" si="548"/>
        <v>2257.3178393397097</v>
      </c>
      <c r="W413" s="101">
        <v>2.5000000000000001E-2</v>
      </c>
      <c r="X413" s="63">
        <f t="shared" si="549"/>
        <v>451.46356786794195</v>
      </c>
      <c r="Y413" s="61">
        <v>1306.77</v>
      </c>
      <c r="Z413" s="61">
        <v>0</v>
      </c>
      <c r="AA413" s="61">
        <f t="shared" si="550"/>
        <v>2257.3178393397097</v>
      </c>
      <c r="AB413" s="61">
        <f t="shared" si="551"/>
        <v>451.46356786794195</v>
      </c>
      <c r="AC413" s="61">
        <v>2761.6884164522667</v>
      </c>
      <c r="AD413" s="61">
        <v>1811.0925287563687</v>
      </c>
      <c r="AE413" s="61">
        <v>1071.0186450362914</v>
      </c>
      <c r="AF413" s="61">
        <v>0</v>
      </c>
      <c r="AG413" s="61">
        <f t="shared" si="552"/>
        <v>623.01972365775987</v>
      </c>
      <c r="AH413" s="64"/>
      <c r="AI413" s="64"/>
      <c r="AJ413" s="365">
        <v>21</v>
      </c>
      <c r="AK413" s="372" t="s">
        <v>66</v>
      </c>
      <c r="AL413" s="365">
        <v>20014</v>
      </c>
      <c r="AM413" s="372" t="s">
        <v>568</v>
      </c>
      <c r="AN413" s="372" t="s">
        <v>569</v>
      </c>
      <c r="AO413" s="368">
        <f t="shared" si="567"/>
        <v>40631.721108114769</v>
      </c>
      <c r="AP413" s="368">
        <f t="shared" si="567"/>
        <v>13543.907036038258</v>
      </c>
      <c r="AQ413" s="368">
        <f t="shared" si="568"/>
        <v>1354.3907036038258</v>
      </c>
      <c r="AR413" s="368">
        <f t="shared" si="568"/>
        <v>3920.31</v>
      </c>
      <c r="AS413" s="368">
        <f t="shared" si="568"/>
        <v>0</v>
      </c>
      <c r="AT413" s="368">
        <f t="shared" si="568"/>
        <v>6771.9535180191288</v>
      </c>
      <c r="AU413" s="368">
        <f t="shared" si="568"/>
        <v>1354.3907036038258</v>
      </c>
      <c r="AV413" s="368">
        <f t="shared" si="568"/>
        <v>8285.0652493567995</v>
      </c>
      <c r="AW413" s="368">
        <f t="shared" si="568"/>
        <v>5433.277586269106</v>
      </c>
      <c r="AX413" s="368">
        <f t="shared" si="568"/>
        <v>3213.0559351088741</v>
      </c>
      <c r="AY413" s="368">
        <f t="shared" si="568"/>
        <v>0</v>
      </c>
      <c r="AZ413" s="368">
        <f t="shared" si="568"/>
        <v>1869.0591709732796</v>
      </c>
      <c r="BB413" s="64"/>
      <c r="BC413" s="66"/>
      <c r="BD413" s="66"/>
      <c r="BE413" s="66"/>
    </row>
    <row r="414" spans="1:177" s="364" customFormat="1" ht="21" customHeight="1" x14ac:dyDescent="0.2">
      <c r="B414" s="369">
        <v>22</v>
      </c>
      <c r="C414" s="372" t="s">
        <v>66</v>
      </c>
      <c r="D414" s="365">
        <v>12082</v>
      </c>
      <c r="E414" s="371" t="s">
        <v>570</v>
      </c>
      <c r="F414" s="371" t="s">
        <v>571</v>
      </c>
      <c r="G414" s="398">
        <v>43444</v>
      </c>
      <c r="H414" s="56" t="str">
        <f t="shared" si="561"/>
        <v>6 AÑOS</v>
      </c>
      <c r="I414" s="57">
        <v>13819.875503616</v>
      </c>
      <c r="J414" s="57"/>
      <c r="K414" s="57"/>
      <c r="L414" s="74"/>
      <c r="M414" s="60">
        <v>4.0000000000000002E-4</v>
      </c>
      <c r="N414" s="61">
        <f t="shared" ref="N414:N421" si="569">I414*0.04</f>
        <v>552.79502014464003</v>
      </c>
      <c r="O414" s="58">
        <f t="shared" si="541"/>
        <v>14372.67052376064</v>
      </c>
      <c r="P414" s="61">
        <f t="shared" si="542"/>
        <v>28745.34104752128</v>
      </c>
      <c r="Q414" s="61">
        <f t="shared" si="543"/>
        <v>21559.005785640962</v>
      </c>
      <c r="R414" s="61">
        <f t="shared" si="544"/>
        <v>7186.3352618803201</v>
      </c>
      <c r="S414" s="61">
        <f t="shared" si="545"/>
        <v>958.17803491737607</v>
      </c>
      <c r="T414" s="58">
        <f t="shared" si="546"/>
        <v>1099.8925662816559</v>
      </c>
      <c r="U414" s="61">
        <f t="shared" si="547"/>
        <v>10779.502892820481</v>
      </c>
      <c r="V414" s="58">
        <f t="shared" si="548"/>
        <v>3593.1676309401601</v>
      </c>
      <c r="W414" s="101">
        <v>2.5000000000000001E-2</v>
      </c>
      <c r="X414" s="63">
        <f t="shared" si="549"/>
        <v>718.63352618803208</v>
      </c>
      <c r="Y414" s="61">
        <v>2958.8796838129097</v>
      </c>
      <c r="Z414" s="61">
        <v>0</v>
      </c>
      <c r="AA414" s="61">
        <f t="shared" si="550"/>
        <v>3593.1676309401605</v>
      </c>
      <c r="AB414" s="61">
        <f t="shared" si="551"/>
        <v>718.63352618803219</v>
      </c>
      <c r="AC414" s="61">
        <v>4071.4832474130367</v>
      </c>
      <c r="AD414" s="61">
        <v>2882.8734108525341</v>
      </c>
      <c r="AE414" s="61">
        <v>1704.8334777365669</v>
      </c>
      <c r="AF414" s="61">
        <v>0</v>
      </c>
      <c r="AG414" s="61">
        <f t="shared" si="552"/>
        <v>991.71426613948404</v>
      </c>
      <c r="AH414" s="64"/>
      <c r="AI414" s="64"/>
      <c r="AJ414" s="369">
        <v>22</v>
      </c>
      <c r="AK414" s="372" t="s">
        <v>66</v>
      </c>
      <c r="AL414" s="365">
        <v>12082</v>
      </c>
      <c r="AM414" s="371" t="s">
        <v>570</v>
      </c>
      <c r="AN414" s="371" t="s">
        <v>571</v>
      </c>
      <c r="AO414" s="401">
        <f>Q414*12</f>
        <v>258708.06942769155</v>
      </c>
      <c r="AP414" s="368">
        <f>R414*12</f>
        <v>86236.023142563849</v>
      </c>
      <c r="AQ414" s="368">
        <f t="shared" ref="AQ414:AZ415" si="570">X414*12</f>
        <v>8623.6023142563845</v>
      </c>
      <c r="AR414" s="368">
        <f t="shared" si="570"/>
        <v>35506.556205754918</v>
      </c>
      <c r="AS414" s="368">
        <f t="shared" si="570"/>
        <v>0</v>
      </c>
      <c r="AT414" s="368">
        <f t="shared" si="570"/>
        <v>43118.011571281924</v>
      </c>
      <c r="AU414" s="368">
        <f t="shared" si="570"/>
        <v>8623.6023142563863</v>
      </c>
      <c r="AV414" s="368">
        <f t="shared" si="570"/>
        <v>48857.798968956442</v>
      </c>
      <c r="AW414" s="368">
        <f t="shared" si="570"/>
        <v>34594.480930230406</v>
      </c>
      <c r="AX414" s="368">
        <f t="shared" si="570"/>
        <v>20458.001732838802</v>
      </c>
      <c r="AY414" s="368">
        <f t="shared" si="570"/>
        <v>0</v>
      </c>
      <c r="AZ414" s="368">
        <f t="shared" si="570"/>
        <v>11900.571193673808</v>
      </c>
      <c r="BB414" s="64"/>
      <c r="BC414" s="66"/>
      <c r="BD414" s="66"/>
      <c r="BE414" s="66"/>
    </row>
    <row r="415" spans="1:177" s="364" customFormat="1" ht="21" customHeight="1" x14ac:dyDescent="0.2">
      <c r="B415" s="369">
        <v>23</v>
      </c>
      <c r="C415" s="372" t="s">
        <v>66</v>
      </c>
      <c r="D415" s="377">
        <v>12002</v>
      </c>
      <c r="E415" s="371" t="s">
        <v>572</v>
      </c>
      <c r="F415" s="408" t="s">
        <v>573</v>
      </c>
      <c r="G415" s="155">
        <v>35674</v>
      </c>
      <c r="H415" s="56" t="str">
        <f t="shared" si="561"/>
        <v>27 AÑOS</v>
      </c>
      <c r="I415" s="57">
        <v>6063.7985650654873</v>
      </c>
      <c r="J415" s="57"/>
      <c r="K415" s="57"/>
      <c r="L415" s="59"/>
      <c r="M415" s="60">
        <v>4.0000000000000002E-4</v>
      </c>
      <c r="N415" s="61">
        <f t="shared" si="569"/>
        <v>242.5519426026195</v>
      </c>
      <c r="O415" s="58">
        <f t="shared" si="541"/>
        <v>6306.3505076681067</v>
      </c>
      <c r="P415" s="61">
        <f t="shared" si="542"/>
        <v>12612.701015336213</v>
      </c>
      <c r="Q415" s="61">
        <f t="shared" si="543"/>
        <v>9459.5257615021601</v>
      </c>
      <c r="R415" s="61">
        <f t="shared" si="544"/>
        <v>3153.1752538340534</v>
      </c>
      <c r="S415" s="61">
        <f t="shared" si="545"/>
        <v>420.42336717787379</v>
      </c>
      <c r="T415" s="58">
        <f t="shared" si="546"/>
        <v>482.60398318348126</v>
      </c>
      <c r="U415" s="61">
        <f t="shared" si="547"/>
        <v>4729.76288075108</v>
      </c>
      <c r="V415" s="58">
        <f t="shared" si="548"/>
        <v>1576.5876269170267</v>
      </c>
      <c r="W415" s="101">
        <v>7.4999999999999997E-2</v>
      </c>
      <c r="X415" s="63">
        <f t="shared" si="549"/>
        <v>945.95257615021592</v>
      </c>
      <c r="Y415" s="61">
        <v>716.23566685143487</v>
      </c>
      <c r="Z415" s="61">
        <v>0</v>
      </c>
      <c r="AA415" s="61">
        <f t="shared" si="550"/>
        <v>1576.5876269170267</v>
      </c>
      <c r="AB415" s="61">
        <f t="shared" si="551"/>
        <v>315.31752538340533</v>
      </c>
      <c r="AC415" s="61">
        <v>2094.2367423759515</v>
      </c>
      <c r="AD415" s="61">
        <v>1264.9291701230636</v>
      </c>
      <c r="AE415" s="61">
        <v>748.03617393439606</v>
      </c>
      <c r="AF415" s="61">
        <v>0</v>
      </c>
      <c r="AG415" s="61">
        <f t="shared" si="552"/>
        <v>435.1381850290993</v>
      </c>
      <c r="AH415" s="64"/>
      <c r="AI415" s="64"/>
      <c r="AJ415" s="369">
        <v>23</v>
      </c>
      <c r="AK415" s="372" t="s">
        <v>66</v>
      </c>
      <c r="AL415" s="377">
        <v>12002</v>
      </c>
      <c r="AM415" s="371" t="s">
        <v>572</v>
      </c>
      <c r="AN415" s="408" t="s">
        <v>573</v>
      </c>
      <c r="AO415" s="401">
        <f>Q415*12</f>
        <v>113514.30913802591</v>
      </c>
      <c r="AP415" s="368">
        <f>R415*12</f>
        <v>37838.10304600864</v>
      </c>
      <c r="AQ415" s="368">
        <f t="shared" si="570"/>
        <v>11351.430913802591</v>
      </c>
      <c r="AR415" s="368">
        <f t="shared" si="570"/>
        <v>8594.8280022172185</v>
      </c>
      <c r="AS415" s="368">
        <f t="shared" si="570"/>
        <v>0</v>
      </c>
      <c r="AT415" s="368">
        <f t="shared" si="570"/>
        <v>18919.05152300432</v>
      </c>
      <c r="AU415" s="368">
        <f t="shared" si="570"/>
        <v>3783.8103046008637</v>
      </c>
      <c r="AV415" s="368">
        <f t="shared" si="570"/>
        <v>25130.840908511418</v>
      </c>
      <c r="AW415" s="368">
        <f t="shared" si="570"/>
        <v>15179.150041476763</v>
      </c>
      <c r="AX415" s="368">
        <f t="shared" si="570"/>
        <v>8976.4340872127523</v>
      </c>
      <c r="AY415" s="368">
        <f t="shared" si="570"/>
        <v>0</v>
      </c>
      <c r="AZ415" s="368">
        <f t="shared" si="570"/>
        <v>5221.6582203491917</v>
      </c>
      <c r="BB415" s="64"/>
      <c r="BC415" s="66"/>
      <c r="BD415" s="66"/>
      <c r="BE415" s="66"/>
    </row>
    <row r="416" spans="1:177" s="364" customFormat="1" ht="21" customHeight="1" x14ac:dyDescent="0.2">
      <c r="B416" s="365">
        <v>24</v>
      </c>
      <c r="C416" s="372" t="s">
        <v>66</v>
      </c>
      <c r="D416" s="365">
        <v>14077</v>
      </c>
      <c r="E416" s="69" t="s">
        <v>574</v>
      </c>
      <c r="F416" s="69" t="s">
        <v>575</v>
      </c>
      <c r="G416" s="363">
        <v>41785</v>
      </c>
      <c r="H416" s="56" t="str">
        <f t="shared" si="561"/>
        <v>10 AÑOS</v>
      </c>
      <c r="I416" s="57">
        <v>7837.7560437490456</v>
      </c>
      <c r="J416" s="57"/>
      <c r="K416" s="57"/>
      <c r="L416" s="74"/>
      <c r="M416" s="60">
        <v>4.0000000000000002E-4</v>
      </c>
      <c r="N416" s="61">
        <f t="shared" si="569"/>
        <v>313.51024174996184</v>
      </c>
      <c r="O416" s="58">
        <f t="shared" si="541"/>
        <v>8151.2662854990076</v>
      </c>
      <c r="P416" s="61">
        <f t="shared" si="542"/>
        <v>16302.532570998015</v>
      </c>
      <c r="Q416" s="61">
        <f t="shared" si="543"/>
        <v>12226.899428248511</v>
      </c>
      <c r="R416" s="61">
        <f t="shared" si="544"/>
        <v>4075.6331427495038</v>
      </c>
      <c r="S416" s="61">
        <f t="shared" si="545"/>
        <v>543.41775236660055</v>
      </c>
      <c r="T416" s="58">
        <f t="shared" si="546"/>
        <v>623.78923794162074</v>
      </c>
      <c r="U416" s="61">
        <f t="shared" si="547"/>
        <v>6113.4497141242555</v>
      </c>
      <c r="V416" s="58">
        <f t="shared" si="548"/>
        <v>2037.8165713747519</v>
      </c>
      <c r="W416" s="101">
        <v>0</v>
      </c>
      <c r="X416" s="63">
        <f t="shared" si="549"/>
        <v>0</v>
      </c>
      <c r="Y416" s="61">
        <v>1081.2607085197617</v>
      </c>
      <c r="Z416" s="61">
        <v>0</v>
      </c>
      <c r="AA416" s="61">
        <f t="shared" si="550"/>
        <v>2037.8165713747521</v>
      </c>
      <c r="AB416" s="61">
        <f t="shared" si="551"/>
        <v>407.56331427495041</v>
      </c>
      <c r="AC416" s="61">
        <v>2546.4693920261457</v>
      </c>
      <c r="AD416" s="61">
        <v>1634.982782106885</v>
      </c>
      <c r="AE416" s="61">
        <v>966.87331880951206</v>
      </c>
      <c r="AF416" s="61">
        <v>0</v>
      </c>
      <c r="AG416" s="61">
        <f t="shared" si="552"/>
        <v>562.43737369943153</v>
      </c>
      <c r="AH416" s="64"/>
      <c r="AI416" s="64"/>
      <c r="AJ416" s="365">
        <v>24</v>
      </c>
      <c r="AK416" s="372" t="s">
        <v>66</v>
      </c>
      <c r="AL416" s="365">
        <v>14077</v>
      </c>
      <c r="AM416" s="69" t="s">
        <v>574</v>
      </c>
      <c r="AN416" s="69" t="s">
        <v>575</v>
      </c>
      <c r="AO416" s="368">
        <f t="shared" ref="AO416:AP416" si="571">Q416*3</f>
        <v>36680.698284745537</v>
      </c>
      <c r="AP416" s="368">
        <f t="shared" si="571"/>
        <v>12226.899428248511</v>
      </c>
      <c r="AQ416" s="368">
        <f t="shared" ref="AQ416:AZ416" si="572">X416*3</f>
        <v>0</v>
      </c>
      <c r="AR416" s="368">
        <f t="shared" si="572"/>
        <v>3243.7821255592853</v>
      </c>
      <c r="AS416" s="368">
        <f t="shared" si="572"/>
        <v>0</v>
      </c>
      <c r="AT416" s="368">
        <f t="shared" si="572"/>
        <v>6113.4497141242564</v>
      </c>
      <c r="AU416" s="368">
        <f t="shared" si="572"/>
        <v>1222.6899428248512</v>
      </c>
      <c r="AV416" s="368">
        <f t="shared" si="572"/>
        <v>7639.4081760784375</v>
      </c>
      <c r="AW416" s="368">
        <f t="shared" si="572"/>
        <v>4904.9483463206552</v>
      </c>
      <c r="AX416" s="368">
        <f t="shared" si="572"/>
        <v>2900.6199564285362</v>
      </c>
      <c r="AY416" s="368">
        <f t="shared" si="572"/>
        <v>0</v>
      </c>
      <c r="AZ416" s="368">
        <f t="shared" si="572"/>
        <v>1687.3121210982945</v>
      </c>
      <c r="BB416" s="64"/>
      <c r="BC416" s="66"/>
      <c r="BD416" s="66"/>
      <c r="BE416" s="66"/>
    </row>
    <row r="417" spans="1:177" s="364" customFormat="1" ht="21" customHeight="1" x14ac:dyDescent="0.2">
      <c r="B417" s="369">
        <v>25</v>
      </c>
      <c r="C417" s="372" t="s">
        <v>66</v>
      </c>
      <c r="D417" s="365">
        <v>12092</v>
      </c>
      <c r="E417" s="371" t="s">
        <v>576</v>
      </c>
      <c r="F417" s="371" t="s">
        <v>412</v>
      </c>
      <c r="G417" s="363">
        <v>44593</v>
      </c>
      <c r="H417" s="56" t="str">
        <f t="shared" si="561"/>
        <v>2 AÑOS</v>
      </c>
      <c r="I417" s="57">
        <v>4077.0254077283557</v>
      </c>
      <c r="J417" s="58"/>
      <c r="K417" s="58"/>
      <c r="L417" s="59"/>
      <c r="M417" s="60">
        <v>4.0000000000000002E-4</v>
      </c>
      <c r="N417" s="61">
        <f t="shared" si="569"/>
        <v>163.08101630913424</v>
      </c>
      <c r="O417" s="58">
        <f t="shared" si="541"/>
        <v>4240.1064240374899</v>
      </c>
      <c r="P417" s="61">
        <f t="shared" si="542"/>
        <v>8480.2128480749798</v>
      </c>
      <c r="Q417" s="61">
        <f t="shared" si="543"/>
        <v>6360.1596360562344</v>
      </c>
      <c r="R417" s="61">
        <f t="shared" si="544"/>
        <v>2120.0532120187449</v>
      </c>
      <c r="S417" s="61">
        <f t="shared" si="545"/>
        <v>282.67376160249933</v>
      </c>
      <c r="T417" s="58">
        <f t="shared" si="546"/>
        <v>324.48121094350893</v>
      </c>
      <c r="U417" s="61">
        <f t="shared" si="547"/>
        <v>3180.0798180281172</v>
      </c>
      <c r="V417" s="58">
        <f t="shared" si="548"/>
        <v>1060.0266060093725</v>
      </c>
      <c r="W417" s="101">
        <v>0</v>
      </c>
      <c r="X417" s="63">
        <f t="shared" si="549"/>
        <v>0</v>
      </c>
      <c r="Y417" s="61">
        <v>128.82463240291827</v>
      </c>
      <c r="Z417" s="61">
        <v>0</v>
      </c>
      <c r="AA417" s="61">
        <f t="shared" si="550"/>
        <v>1060.0266060093725</v>
      </c>
      <c r="AB417" s="61">
        <f t="shared" si="551"/>
        <v>212.00532120187449</v>
      </c>
      <c r="AC417" s="61">
        <v>1592.0752082469489</v>
      </c>
      <c r="AD417" s="61">
        <v>793.14564796976606</v>
      </c>
      <c r="AE417" s="61">
        <v>502.94587696243883</v>
      </c>
      <c r="AF417" s="61">
        <v>0</v>
      </c>
      <c r="AG417" s="61">
        <f t="shared" si="552"/>
        <v>292.56734325858679</v>
      </c>
      <c r="AH417" s="64"/>
      <c r="AI417" s="64"/>
      <c r="AJ417" s="369">
        <v>25</v>
      </c>
      <c r="AK417" s="372" t="s">
        <v>66</v>
      </c>
      <c r="AL417" s="365">
        <v>12092</v>
      </c>
      <c r="AM417" s="371" t="s">
        <v>576</v>
      </c>
      <c r="AN417" s="371" t="s">
        <v>412</v>
      </c>
      <c r="AO417" s="401">
        <f>Q417*12</f>
        <v>76321.91563267482</v>
      </c>
      <c r="AP417" s="368">
        <f>R417*12</f>
        <v>25440.638544224938</v>
      </c>
      <c r="AQ417" s="368">
        <f t="shared" ref="AQ417:AZ417" si="573">X417*12</f>
        <v>0</v>
      </c>
      <c r="AR417" s="368">
        <f t="shared" si="573"/>
        <v>1545.8955888350192</v>
      </c>
      <c r="AS417" s="368">
        <f t="shared" si="573"/>
        <v>0</v>
      </c>
      <c r="AT417" s="368">
        <f t="shared" si="573"/>
        <v>12720.319272112469</v>
      </c>
      <c r="AU417" s="368">
        <f t="shared" si="573"/>
        <v>2544.0638544224939</v>
      </c>
      <c r="AV417" s="368">
        <f t="shared" si="573"/>
        <v>19104.902498963387</v>
      </c>
      <c r="AW417" s="368">
        <f t="shared" si="573"/>
        <v>9517.7477756371918</v>
      </c>
      <c r="AX417" s="368">
        <f t="shared" si="573"/>
        <v>6035.3505235492657</v>
      </c>
      <c r="AY417" s="368">
        <f t="shared" si="573"/>
        <v>0</v>
      </c>
      <c r="AZ417" s="368">
        <f t="shared" si="573"/>
        <v>3510.8081191030415</v>
      </c>
      <c r="BB417" s="64"/>
      <c r="BC417" s="66"/>
      <c r="BD417" s="66"/>
      <c r="BE417" s="66"/>
    </row>
    <row r="418" spans="1:177" s="364" customFormat="1" ht="21" customHeight="1" x14ac:dyDescent="0.2">
      <c r="B418" s="369">
        <v>26</v>
      </c>
      <c r="C418" s="372" t="s">
        <v>66</v>
      </c>
      <c r="D418" s="365">
        <v>12081</v>
      </c>
      <c r="E418" s="364" t="s">
        <v>577</v>
      </c>
      <c r="F418" s="428" t="s">
        <v>578</v>
      </c>
      <c r="G418" s="398">
        <v>43435</v>
      </c>
      <c r="H418" s="56" t="str">
        <f t="shared" si="561"/>
        <v>6 AÑOS</v>
      </c>
      <c r="I418" s="57">
        <v>8774.8175673822552</v>
      </c>
      <c r="J418" s="58"/>
      <c r="K418" s="58"/>
      <c r="L418" s="59"/>
      <c r="M418" s="60">
        <v>4.0000000000000002E-4</v>
      </c>
      <c r="N418" s="61">
        <f t="shared" si="569"/>
        <v>350.99270269529023</v>
      </c>
      <c r="O418" s="58">
        <f t="shared" si="541"/>
        <v>9125.8102700775453</v>
      </c>
      <c r="P418" s="61">
        <f t="shared" si="542"/>
        <v>18251.620540155091</v>
      </c>
      <c r="Q418" s="61">
        <f t="shared" si="543"/>
        <v>13688.715405116318</v>
      </c>
      <c r="R418" s="61">
        <f t="shared" si="544"/>
        <v>4562.9051350387726</v>
      </c>
      <c r="S418" s="61">
        <f t="shared" si="545"/>
        <v>608.38735133850298</v>
      </c>
      <c r="T418" s="58">
        <f t="shared" si="546"/>
        <v>698.36784060146749</v>
      </c>
      <c r="U418" s="61">
        <f t="shared" si="547"/>
        <v>6844.357702558159</v>
      </c>
      <c r="V418" s="58">
        <f t="shared" si="548"/>
        <v>2281.4525675193863</v>
      </c>
      <c r="W418" s="101">
        <v>0</v>
      </c>
      <c r="X418" s="63">
        <f t="shared" si="549"/>
        <v>0</v>
      </c>
      <c r="Y418" s="61">
        <v>1332.718696596844</v>
      </c>
      <c r="Z418" s="61">
        <v>0</v>
      </c>
      <c r="AA418" s="61">
        <f t="shared" si="550"/>
        <v>2281.4525675193863</v>
      </c>
      <c r="AB418" s="61">
        <f t="shared" si="551"/>
        <v>456.29051350387726</v>
      </c>
      <c r="AC418" s="61">
        <v>2785.353255258522</v>
      </c>
      <c r="AD418" s="61">
        <v>1830.4570286084765</v>
      </c>
      <c r="AE418" s="61">
        <v>1082.4701529322747</v>
      </c>
      <c r="AF418" s="61">
        <v>0</v>
      </c>
      <c r="AG418" s="61">
        <f t="shared" si="552"/>
        <v>629.68090863535065</v>
      </c>
      <c r="AH418" s="64"/>
      <c r="AI418" s="64"/>
      <c r="AJ418" s="369">
        <v>26</v>
      </c>
      <c r="AK418" s="372" t="s">
        <v>66</v>
      </c>
      <c r="AL418" s="365">
        <v>12081</v>
      </c>
      <c r="AM418" s="364" t="s">
        <v>577</v>
      </c>
      <c r="AN418" s="428" t="s">
        <v>578</v>
      </c>
      <c r="AO418" s="368">
        <f t="shared" ref="AO418:AP418" si="574">Q418*3</f>
        <v>41066.146215348956</v>
      </c>
      <c r="AP418" s="368">
        <f t="shared" si="574"/>
        <v>13688.715405116318</v>
      </c>
      <c r="AQ418" s="368">
        <f t="shared" ref="AQ418:AZ418" si="575">X418*3</f>
        <v>0</v>
      </c>
      <c r="AR418" s="368">
        <f t="shared" si="575"/>
        <v>3998.156089790532</v>
      </c>
      <c r="AS418" s="368">
        <f t="shared" si="575"/>
        <v>0</v>
      </c>
      <c r="AT418" s="368">
        <f t="shared" si="575"/>
        <v>6844.357702558159</v>
      </c>
      <c r="AU418" s="368">
        <f t="shared" si="575"/>
        <v>1368.8715405116318</v>
      </c>
      <c r="AV418" s="368">
        <f t="shared" si="575"/>
        <v>8356.0597657755661</v>
      </c>
      <c r="AW418" s="368">
        <f t="shared" si="575"/>
        <v>5491.3710858254299</v>
      </c>
      <c r="AX418" s="368">
        <f t="shared" si="575"/>
        <v>3247.4104587968241</v>
      </c>
      <c r="AY418" s="368">
        <f t="shared" si="575"/>
        <v>0</v>
      </c>
      <c r="AZ418" s="368">
        <f t="shared" si="575"/>
        <v>1889.0427259060521</v>
      </c>
      <c r="BB418" s="64"/>
      <c r="BC418" s="66"/>
      <c r="BD418" s="66"/>
      <c r="BE418" s="66"/>
    </row>
    <row r="419" spans="1:177" s="364" customFormat="1" ht="21" customHeight="1" x14ac:dyDescent="0.2">
      <c r="B419" s="365">
        <v>27</v>
      </c>
      <c r="C419" s="372" t="s">
        <v>66</v>
      </c>
      <c r="D419" s="396">
        <v>16553</v>
      </c>
      <c r="E419" s="372" t="s">
        <v>579</v>
      </c>
      <c r="F419" s="408" t="s">
        <v>580</v>
      </c>
      <c r="G419" s="398">
        <v>43862</v>
      </c>
      <c r="H419" s="56" t="str">
        <f t="shared" si="561"/>
        <v>4 AÑOS</v>
      </c>
      <c r="I419" s="57">
        <v>8681.9883171840011</v>
      </c>
      <c r="J419" s="58"/>
      <c r="K419" s="57"/>
      <c r="L419" s="59"/>
      <c r="M419" s="60">
        <v>4.0000000000000002E-4</v>
      </c>
      <c r="N419" s="61">
        <f t="shared" si="569"/>
        <v>347.27953268736007</v>
      </c>
      <c r="O419" s="58">
        <f t="shared" si="541"/>
        <v>9029.2678498713612</v>
      </c>
      <c r="P419" s="61">
        <f t="shared" si="542"/>
        <v>18058.535699742722</v>
      </c>
      <c r="Q419" s="61">
        <f t="shared" si="543"/>
        <v>13543.901774807042</v>
      </c>
      <c r="R419" s="61">
        <f t="shared" si="544"/>
        <v>4514.6339249356806</v>
      </c>
      <c r="S419" s="61">
        <f t="shared" si="545"/>
        <v>601.95118999142403</v>
      </c>
      <c r="T419" s="58">
        <f t="shared" si="546"/>
        <v>690.97977099115565</v>
      </c>
      <c r="U419" s="61">
        <f t="shared" si="547"/>
        <v>6771.9508874035209</v>
      </c>
      <c r="V419" s="58">
        <f t="shared" si="548"/>
        <v>2257.3169624678403</v>
      </c>
      <c r="W419" s="101">
        <v>0</v>
      </c>
      <c r="X419" s="63">
        <f t="shared" si="549"/>
        <v>0</v>
      </c>
      <c r="Y419" s="61">
        <v>1306.7680940454218</v>
      </c>
      <c r="Z419" s="61">
        <v>0</v>
      </c>
      <c r="AA419" s="61">
        <f t="shared" si="550"/>
        <v>2257.3169624678399</v>
      </c>
      <c r="AB419" s="61">
        <f t="shared" si="551"/>
        <v>451.46339249356805</v>
      </c>
      <c r="AC419" s="61">
        <v>2761.6884164522667</v>
      </c>
      <c r="AD419" s="61">
        <v>1811.0925287563687</v>
      </c>
      <c r="AE419" s="61">
        <v>1071.0186450362914</v>
      </c>
      <c r="AF419" s="61">
        <v>0</v>
      </c>
      <c r="AG419" s="61">
        <f t="shared" si="552"/>
        <v>623.019481641124</v>
      </c>
      <c r="AH419" s="64"/>
      <c r="AI419" s="64"/>
      <c r="AJ419" s="365">
        <v>27</v>
      </c>
      <c r="AK419" s="372" t="s">
        <v>66</v>
      </c>
      <c r="AL419" s="396">
        <v>16553</v>
      </c>
      <c r="AM419" s="372" t="s">
        <v>579</v>
      </c>
      <c r="AN419" s="408" t="s">
        <v>580</v>
      </c>
      <c r="AO419" s="401">
        <f>Q419*12</f>
        <v>162526.82129768451</v>
      </c>
      <c r="AP419" s="368">
        <f>R419*12</f>
        <v>54175.607099228167</v>
      </c>
      <c r="AQ419" s="368">
        <f t="shared" ref="AQ419:AZ419" si="576">X419*12</f>
        <v>0</v>
      </c>
      <c r="AR419" s="368">
        <f t="shared" si="576"/>
        <v>15681.21712854506</v>
      </c>
      <c r="AS419" s="368">
        <f t="shared" si="576"/>
        <v>0</v>
      </c>
      <c r="AT419" s="368">
        <f t="shared" si="576"/>
        <v>27087.80354961408</v>
      </c>
      <c r="AU419" s="368">
        <f t="shared" si="576"/>
        <v>5417.5607099228164</v>
      </c>
      <c r="AV419" s="368">
        <f t="shared" si="576"/>
        <v>33140.260997427198</v>
      </c>
      <c r="AW419" s="368">
        <f t="shared" si="576"/>
        <v>21733.110345076424</v>
      </c>
      <c r="AX419" s="368">
        <f t="shared" si="576"/>
        <v>12852.223740435496</v>
      </c>
      <c r="AY419" s="368">
        <f t="shared" si="576"/>
        <v>0</v>
      </c>
      <c r="AZ419" s="368">
        <f t="shared" si="576"/>
        <v>7476.233779693488</v>
      </c>
      <c r="BB419" s="64"/>
      <c r="BC419" s="66"/>
      <c r="BD419" s="66"/>
      <c r="BE419" s="66"/>
    </row>
    <row r="420" spans="1:177" s="364" customFormat="1" ht="21" customHeight="1" x14ac:dyDescent="0.2">
      <c r="B420" s="369">
        <v>28</v>
      </c>
      <c r="C420" s="372" t="s">
        <v>66</v>
      </c>
      <c r="D420" s="365">
        <v>12095</v>
      </c>
      <c r="E420" s="371" t="s">
        <v>581</v>
      </c>
      <c r="F420" s="371" t="s">
        <v>582</v>
      </c>
      <c r="G420" s="429">
        <v>45032</v>
      </c>
      <c r="H420" s="56" t="str">
        <f t="shared" si="561"/>
        <v>1 AÑOS</v>
      </c>
      <c r="I420" s="57">
        <v>9166.0732800000005</v>
      </c>
      <c r="J420" s="58"/>
      <c r="K420" s="58"/>
      <c r="L420" s="59"/>
      <c r="M420" s="60">
        <v>4.0000000000000002E-4</v>
      </c>
      <c r="N420" s="61">
        <f t="shared" si="569"/>
        <v>366.64293120000002</v>
      </c>
      <c r="O420" s="58">
        <f t="shared" si="541"/>
        <v>9532.7162112000005</v>
      </c>
      <c r="P420" s="61">
        <f t="shared" si="542"/>
        <v>19065.432422400001</v>
      </c>
      <c r="Q420" s="61">
        <f t="shared" si="543"/>
        <v>14299.074316800001</v>
      </c>
      <c r="R420" s="61">
        <f t="shared" si="544"/>
        <v>4766.3581056000003</v>
      </c>
      <c r="S420" s="58">
        <f t="shared" si="545"/>
        <v>635.51441408000005</v>
      </c>
      <c r="T420" s="58">
        <f t="shared" si="546"/>
        <v>729.506995922432</v>
      </c>
      <c r="U420" s="61">
        <f t="shared" si="547"/>
        <v>7149.5371584000004</v>
      </c>
      <c r="V420" s="58">
        <f t="shared" si="548"/>
        <v>2383.1790528000001</v>
      </c>
      <c r="W420" s="101">
        <v>0</v>
      </c>
      <c r="X420" s="61">
        <f t="shared" si="549"/>
        <v>0</v>
      </c>
      <c r="Y420" s="61">
        <v>1442.09501357056</v>
      </c>
      <c r="Z420" s="61">
        <v>0</v>
      </c>
      <c r="AA420" s="61">
        <f t="shared" si="550"/>
        <v>2383.1790528000001</v>
      </c>
      <c r="AB420" s="61">
        <f t="shared" si="551"/>
        <v>476.63581056000004</v>
      </c>
      <c r="AC420" s="61">
        <v>2885.0955600961797</v>
      </c>
      <c r="AD420" s="61">
        <v>1912.0743116624906</v>
      </c>
      <c r="AE420" s="61">
        <v>1130.7358436797697</v>
      </c>
      <c r="AF420" s="61"/>
      <c r="AG420" s="61">
        <f t="shared" si="552"/>
        <v>657.75741857280002</v>
      </c>
      <c r="AH420" s="64"/>
      <c r="AI420" s="64"/>
      <c r="AJ420" s="369">
        <v>28</v>
      </c>
      <c r="AK420" s="372" t="s">
        <v>66</v>
      </c>
      <c r="AL420" s="365">
        <v>12095</v>
      </c>
      <c r="AM420" s="371" t="s">
        <v>581</v>
      </c>
      <c r="AN420" s="371" t="s">
        <v>582</v>
      </c>
      <c r="AO420" s="368">
        <f t="shared" ref="AO420:AP421" si="577">Q420*3</f>
        <v>42897.222950399999</v>
      </c>
      <c r="AP420" s="368">
        <f t="shared" si="577"/>
        <v>14299.074316800001</v>
      </c>
      <c r="AQ420" s="368">
        <f t="shared" ref="AQ420:AZ421" si="578">X420*3</f>
        <v>0</v>
      </c>
      <c r="AR420" s="368">
        <f t="shared" si="578"/>
        <v>4326.2850407116803</v>
      </c>
      <c r="AS420" s="368">
        <f t="shared" si="578"/>
        <v>0</v>
      </c>
      <c r="AT420" s="368">
        <f t="shared" si="578"/>
        <v>7149.5371584000004</v>
      </c>
      <c r="AU420" s="368">
        <f t="shared" si="578"/>
        <v>1429.9074316800002</v>
      </c>
      <c r="AV420" s="368">
        <f t="shared" si="578"/>
        <v>8655.2866802885401</v>
      </c>
      <c r="AW420" s="368">
        <f t="shared" si="578"/>
        <v>5736.2229349874715</v>
      </c>
      <c r="AX420" s="368">
        <f t="shared" si="578"/>
        <v>3392.2075310393093</v>
      </c>
      <c r="AY420" s="368">
        <f t="shared" si="578"/>
        <v>0</v>
      </c>
      <c r="AZ420" s="368">
        <f t="shared" si="578"/>
        <v>1973.2722557184002</v>
      </c>
      <c r="BB420" s="64"/>
      <c r="BC420" s="66"/>
      <c r="BD420" s="66"/>
      <c r="BE420" s="66"/>
    </row>
    <row r="421" spans="1:177" s="364" customFormat="1" ht="21" customHeight="1" x14ac:dyDescent="0.2">
      <c r="B421" s="369">
        <v>29</v>
      </c>
      <c r="C421" s="372" t="s">
        <v>66</v>
      </c>
      <c r="D421" s="365">
        <v>12086</v>
      </c>
      <c r="E421" s="381" t="s">
        <v>583</v>
      </c>
      <c r="F421" s="371" t="s">
        <v>584</v>
      </c>
      <c r="G421" s="398">
        <v>43481</v>
      </c>
      <c r="H421" s="56" t="str">
        <f t="shared" si="561"/>
        <v>5 AÑOS</v>
      </c>
      <c r="I421" s="57">
        <v>8681.9883171840011</v>
      </c>
      <c r="J421" s="58"/>
      <c r="K421" s="58"/>
      <c r="L421" s="59"/>
      <c r="M421" s="60">
        <v>4.0000000000000002E-4</v>
      </c>
      <c r="N421" s="61">
        <f t="shared" si="569"/>
        <v>347.27953268736007</v>
      </c>
      <c r="O421" s="58">
        <f t="shared" si="541"/>
        <v>9029.2678498713612</v>
      </c>
      <c r="P421" s="61">
        <f t="shared" si="542"/>
        <v>18058.535699742722</v>
      </c>
      <c r="Q421" s="61">
        <f t="shared" si="543"/>
        <v>13543.901774807042</v>
      </c>
      <c r="R421" s="61">
        <f t="shared" si="544"/>
        <v>4514.6339249356806</v>
      </c>
      <c r="S421" s="58">
        <f t="shared" si="545"/>
        <v>601.95118999142403</v>
      </c>
      <c r="T421" s="58">
        <f t="shared" si="546"/>
        <v>690.97977099115565</v>
      </c>
      <c r="U421" s="61">
        <f t="shared" si="547"/>
        <v>6771.9508874035209</v>
      </c>
      <c r="V421" s="58">
        <f t="shared" si="548"/>
        <v>2257.3169624678403</v>
      </c>
      <c r="W421" s="101">
        <v>0</v>
      </c>
      <c r="X421" s="61">
        <f t="shared" si="549"/>
        <v>0</v>
      </c>
      <c r="Y421" s="61">
        <v>1306.7680940454218</v>
      </c>
      <c r="Z421" s="61">
        <v>0</v>
      </c>
      <c r="AA421" s="61">
        <f t="shared" si="550"/>
        <v>2257.3169624678399</v>
      </c>
      <c r="AB421" s="61">
        <f t="shared" si="551"/>
        <v>451.46339249356805</v>
      </c>
      <c r="AC421" s="61">
        <v>2761.6884164522667</v>
      </c>
      <c r="AD421" s="61">
        <v>1811.0925287563687</v>
      </c>
      <c r="AE421" s="61">
        <v>1071.0186450362914</v>
      </c>
      <c r="AF421" s="61">
        <v>0</v>
      </c>
      <c r="AG421" s="61">
        <f t="shared" si="552"/>
        <v>623.019481641124</v>
      </c>
      <c r="AH421" s="64"/>
      <c r="AI421" s="64"/>
      <c r="AJ421" s="369">
        <v>29</v>
      </c>
      <c r="AK421" s="372" t="s">
        <v>66</v>
      </c>
      <c r="AL421" s="365">
        <v>12086</v>
      </c>
      <c r="AM421" s="381" t="s">
        <v>583</v>
      </c>
      <c r="AN421" s="371" t="s">
        <v>584</v>
      </c>
      <c r="AO421" s="368">
        <f t="shared" si="577"/>
        <v>40631.705324421127</v>
      </c>
      <c r="AP421" s="368">
        <f t="shared" si="577"/>
        <v>13543.901774807042</v>
      </c>
      <c r="AQ421" s="368">
        <f t="shared" si="578"/>
        <v>0</v>
      </c>
      <c r="AR421" s="368">
        <f t="shared" si="578"/>
        <v>3920.3042821362651</v>
      </c>
      <c r="AS421" s="368">
        <f t="shared" si="578"/>
        <v>0</v>
      </c>
      <c r="AT421" s="368">
        <f t="shared" si="578"/>
        <v>6771.95088740352</v>
      </c>
      <c r="AU421" s="368">
        <f t="shared" si="578"/>
        <v>1354.3901774807041</v>
      </c>
      <c r="AV421" s="368">
        <f t="shared" si="578"/>
        <v>8285.0652493567995</v>
      </c>
      <c r="AW421" s="368">
        <f t="shared" si="578"/>
        <v>5433.277586269106</v>
      </c>
      <c r="AX421" s="368">
        <f t="shared" si="578"/>
        <v>3213.0559351088741</v>
      </c>
      <c r="AY421" s="368">
        <f t="shared" si="578"/>
        <v>0</v>
      </c>
      <c r="AZ421" s="368">
        <f t="shared" si="578"/>
        <v>1869.058444923372</v>
      </c>
      <c r="BB421" s="64"/>
      <c r="BC421" s="66"/>
      <c r="BD421" s="66"/>
      <c r="BE421" s="66"/>
    </row>
    <row r="422" spans="1:177" s="96" customFormat="1" ht="21" customHeight="1" x14ac:dyDescent="0.2">
      <c r="A422" s="50"/>
      <c r="B422" s="455" t="s">
        <v>99</v>
      </c>
      <c r="C422" s="456"/>
      <c r="D422" s="456"/>
      <c r="E422" s="143">
        <v>29</v>
      </c>
      <c r="F422" s="88" t="s">
        <v>100</v>
      </c>
      <c r="G422" s="139"/>
      <c r="H422" s="89"/>
      <c r="I422" s="91">
        <f t="shared" ref="I422:AG422" si="579">SUM(I397:I421)</f>
        <v>165014.31464834834</v>
      </c>
      <c r="J422" s="91">
        <f t="shared" si="579"/>
        <v>44237.67</v>
      </c>
      <c r="K422" s="91">
        <f t="shared" si="579"/>
        <v>8349.1848326780128</v>
      </c>
      <c r="L422" s="91">
        <f t="shared" si="579"/>
        <v>163.29764194862992</v>
      </c>
      <c r="M422" s="91">
        <f t="shared" si="579"/>
        <v>2.353100000000001E-2</v>
      </c>
      <c r="N422" s="91">
        <f t="shared" si="579"/>
        <v>13511.871332457891</v>
      </c>
      <c r="O422" s="91">
        <f t="shared" si="579"/>
        <v>178526.18598080621</v>
      </c>
      <c r="P422" s="91">
        <f t="shared" si="579"/>
        <v>357052.37196161243</v>
      </c>
      <c r="Q422" s="91">
        <f t="shared" si="579"/>
        <v>267789.27897120931</v>
      </c>
      <c r="R422" s="91">
        <f t="shared" si="579"/>
        <v>89263.092990403107</v>
      </c>
      <c r="S422" s="91">
        <f t="shared" si="579"/>
        <v>11901.745732053745</v>
      </c>
      <c r="T422" s="91">
        <f t="shared" si="579"/>
        <v>13662.013925824498</v>
      </c>
      <c r="U422" s="91">
        <f t="shared" si="579"/>
        <v>133894.63948560465</v>
      </c>
      <c r="V422" s="91">
        <f t="shared" si="579"/>
        <v>44631.546495201554</v>
      </c>
      <c r="W422" s="91">
        <f t="shared" si="579"/>
        <v>0.35000000000000009</v>
      </c>
      <c r="X422" s="91">
        <f t="shared" si="579"/>
        <v>4971.378972301326</v>
      </c>
      <c r="Y422" s="91">
        <f t="shared" si="579"/>
        <v>23057.222784154896</v>
      </c>
      <c r="Z422" s="91">
        <f t="shared" si="579"/>
        <v>0</v>
      </c>
      <c r="AA422" s="91">
        <f t="shared" si="579"/>
        <v>44631.546495201554</v>
      </c>
      <c r="AB422" s="91">
        <f t="shared" si="579"/>
        <v>8926.3092990403111</v>
      </c>
      <c r="AC422" s="91">
        <f t="shared" si="579"/>
        <v>57475.34241176433</v>
      </c>
      <c r="AD422" s="91">
        <f t="shared" si="579"/>
        <v>35477.479250899945</v>
      </c>
      <c r="AE422" s="91">
        <f t="shared" si="579"/>
        <v>21176.121168982663</v>
      </c>
      <c r="AF422" s="91">
        <f t="shared" si="579"/>
        <v>0</v>
      </c>
      <c r="AG422" s="91">
        <f t="shared" si="579"/>
        <v>12318.306832675631</v>
      </c>
      <c r="AH422" s="92"/>
      <c r="AI422" s="92"/>
      <c r="AJ422" s="455" t="s">
        <v>99</v>
      </c>
      <c r="AK422" s="456"/>
      <c r="AL422" s="456"/>
      <c r="AM422" s="143">
        <v>29</v>
      </c>
      <c r="AN422" s="88" t="s">
        <v>100</v>
      </c>
      <c r="AO422" s="175">
        <f>SUM(AO397:AO421)+889298.58</f>
        <v>2687962.9012223962</v>
      </c>
      <c r="AP422" s="175">
        <f>SUM(AP397:AP421)+296432.86</f>
        <v>895987.63374079857</v>
      </c>
      <c r="AQ422" s="175">
        <f>SUM(AQ397:AQ421)+12892.35</f>
        <v>57460.515671599431</v>
      </c>
      <c r="AR422" s="175">
        <f>SUM(AR397:AR421)+66053.49</f>
        <v>220713.44021571457</v>
      </c>
      <c r="AS422" s="175">
        <v>3386.38</v>
      </c>
      <c r="AT422" s="175">
        <f>SUM(AT397:AT421)+148216.43</f>
        <v>447993.81687039929</v>
      </c>
      <c r="AU422" s="175">
        <f>SUM(AU397:AU421)+29643.29</f>
        <v>89598.767374079878</v>
      </c>
      <c r="AV422" s="175">
        <f>SUM(AV397:AV421)+199265.17</f>
        <v>587297.96045442449</v>
      </c>
      <c r="AW422" s="175">
        <f>SUM(AW397:AW421)+117068.36</f>
        <v>354235.36311022466</v>
      </c>
      <c r="AX422" s="175">
        <f>SUM(AX397:AX421)+70020.61</f>
        <v>212254.58653912373</v>
      </c>
      <c r="AY422" s="175">
        <f>SUM(AY397:AY421)</f>
        <v>0</v>
      </c>
      <c r="AZ422" s="175">
        <f>SUM(AZ397:AZ421)+40907.73</f>
        <v>123646.28877623021</v>
      </c>
      <c r="BA422" s="94"/>
      <c r="BB422" s="92"/>
      <c r="BC422" s="95"/>
      <c r="BD422" s="95"/>
      <c r="BE422" s="95"/>
      <c r="BF422" s="50"/>
      <c r="BG422" s="50"/>
      <c r="BH422" s="50"/>
      <c r="BI422" s="50"/>
      <c r="BJ422" s="50"/>
      <c r="BK422" s="50"/>
      <c r="BL422" s="50"/>
      <c r="BM422" s="50"/>
      <c r="BN422" s="50"/>
      <c r="BO422" s="50"/>
      <c r="BP422" s="50"/>
      <c r="BQ422" s="50"/>
      <c r="BR422" s="50"/>
      <c r="BS422" s="50"/>
      <c r="BT422" s="50"/>
      <c r="BU422" s="50"/>
      <c r="BV422" s="50"/>
      <c r="BW422" s="50"/>
      <c r="BX422" s="50"/>
      <c r="BY422" s="50"/>
      <c r="BZ422" s="50"/>
      <c r="CA422" s="50"/>
      <c r="CB422" s="50"/>
      <c r="CC422" s="50"/>
      <c r="CD422" s="50"/>
      <c r="CE422" s="50"/>
      <c r="CF422" s="50"/>
      <c r="CG422" s="50"/>
      <c r="CH422" s="50"/>
      <c r="CI422" s="50"/>
      <c r="CJ422" s="50"/>
      <c r="CK422" s="50"/>
      <c r="CL422" s="50"/>
      <c r="CM422" s="50"/>
      <c r="CN422" s="50"/>
      <c r="CO422" s="50"/>
      <c r="CP422" s="50"/>
      <c r="CQ422" s="50"/>
      <c r="CR422" s="50"/>
      <c r="CS422" s="50"/>
      <c r="CT422" s="50"/>
      <c r="CU422" s="50"/>
      <c r="CV422" s="50"/>
      <c r="CW422" s="50"/>
      <c r="CX422" s="50"/>
      <c r="CY422" s="50"/>
      <c r="CZ422" s="50"/>
      <c r="DA422" s="50"/>
      <c r="DB422" s="50"/>
      <c r="DC422" s="50"/>
      <c r="DD422" s="50"/>
      <c r="DE422" s="50"/>
      <c r="DF422" s="50"/>
      <c r="DG422" s="50"/>
      <c r="DH422" s="50"/>
      <c r="DI422" s="50"/>
      <c r="DJ422" s="50"/>
      <c r="DK422" s="50"/>
      <c r="DL422" s="50"/>
      <c r="DM422" s="50"/>
      <c r="DN422" s="50"/>
      <c r="DO422" s="50"/>
      <c r="DP422" s="50"/>
      <c r="DQ422" s="50"/>
      <c r="DR422" s="50"/>
      <c r="DS422" s="50"/>
      <c r="DT422" s="50"/>
      <c r="DU422" s="50"/>
      <c r="DV422" s="50"/>
      <c r="DW422" s="50"/>
      <c r="DX422" s="50"/>
      <c r="DY422" s="50"/>
      <c r="DZ422" s="50"/>
      <c r="EA422" s="50"/>
      <c r="EB422" s="50"/>
      <c r="EC422" s="50"/>
      <c r="ED422" s="50"/>
      <c r="EE422" s="50"/>
      <c r="EF422" s="50"/>
      <c r="EG422" s="50"/>
      <c r="EH422" s="50"/>
      <c r="EI422" s="50"/>
      <c r="EJ422" s="50"/>
      <c r="EK422" s="50"/>
      <c r="EL422" s="50"/>
      <c r="EM422" s="50"/>
      <c r="EN422" s="50"/>
      <c r="EO422" s="50"/>
      <c r="EP422" s="50"/>
      <c r="EQ422" s="50"/>
      <c r="ER422" s="50"/>
      <c r="ES422" s="50"/>
      <c r="ET422" s="50"/>
      <c r="EU422" s="50"/>
      <c r="EV422" s="50"/>
      <c r="EW422" s="50"/>
      <c r="EX422" s="50"/>
      <c r="EY422" s="50"/>
      <c r="EZ422" s="50"/>
      <c r="FA422" s="50"/>
      <c r="FB422" s="50"/>
      <c r="FC422" s="50"/>
      <c r="FD422" s="50"/>
      <c r="FE422" s="50"/>
      <c r="FF422" s="50"/>
      <c r="FG422" s="50"/>
      <c r="FH422" s="50"/>
      <c r="FI422" s="50"/>
      <c r="FJ422" s="50"/>
      <c r="FK422" s="50"/>
      <c r="FL422" s="50"/>
      <c r="FM422" s="50"/>
      <c r="FN422" s="50"/>
      <c r="FO422" s="50"/>
      <c r="FP422" s="50"/>
      <c r="FQ422" s="50"/>
      <c r="FR422" s="50"/>
      <c r="FS422" s="50"/>
      <c r="FT422" s="50"/>
      <c r="FU422" s="50"/>
    </row>
    <row r="423" spans="1:177" ht="21" customHeight="1" x14ac:dyDescent="0.2">
      <c r="B423" s="457" t="s">
        <v>101</v>
      </c>
      <c r="C423" s="458"/>
      <c r="D423" s="458"/>
      <c r="E423" s="76">
        <v>27</v>
      </c>
      <c r="F423" s="199" t="s">
        <v>585</v>
      </c>
      <c r="G423" s="168"/>
      <c r="H423" s="147"/>
      <c r="I423" s="57">
        <f t="shared" ref="I423:AG423" si="580">I396+I422</f>
        <v>200125.91127283921</v>
      </c>
      <c r="J423" s="57">
        <f t="shared" si="580"/>
        <v>50221.979999999996</v>
      </c>
      <c r="K423" s="57">
        <f t="shared" si="580"/>
        <v>9420.1178645361651</v>
      </c>
      <c r="L423" s="74">
        <f t="shared" si="580"/>
        <v>185.09391442684688</v>
      </c>
      <c r="M423" s="57">
        <f t="shared" si="580"/>
        <v>2.6911000000000011E-2</v>
      </c>
      <c r="N423" s="57">
        <f t="shared" si="580"/>
        <v>15790.42496006996</v>
      </c>
      <c r="O423" s="57">
        <f t="shared" si="580"/>
        <v>215916.33623290915</v>
      </c>
      <c r="P423" s="57">
        <f t="shared" si="580"/>
        <v>431832.67246581829</v>
      </c>
      <c r="Q423" s="57">
        <f t="shared" si="580"/>
        <v>323874.50434936368</v>
      </c>
      <c r="R423" s="57">
        <f t="shared" si="580"/>
        <v>107958.16811645457</v>
      </c>
      <c r="S423" s="57">
        <f t="shared" si="580"/>
        <v>14394.422415527275</v>
      </c>
      <c r="T423" s="57">
        <f t="shared" si="580"/>
        <v>16523.357490783761</v>
      </c>
      <c r="U423" s="81">
        <f t="shared" si="580"/>
        <v>161937.25217468184</v>
      </c>
      <c r="V423" s="57">
        <f t="shared" si="580"/>
        <v>53979.084058227287</v>
      </c>
      <c r="W423" s="57">
        <f t="shared" si="580"/>
        <v>0.35000000000000009</v>
      </c>
      <c r="X423" s="57">
        <f t="shared" si="580"/>
        <v>4971.378972301326</v>
      </c>
      <c r="Y423" s="57">
        <f t="shared" si="580"/>
        <v>29425.358720008706</v>
      </c>
      <c r="Z423" s="57">
        <f t="shared" si="580"/>
        <v>0</v>
      </c>
      <c r="AA423" s="57">
        <f t="shared" si="580"/>
        <v>53979.084058227287</v>
      </c>
      <c r="AB423" s="57">
        <f t="shared" si="580"/>
        <v>10795.816811645458</v>
      </c>
      <c r="AC423" s="57">
        <f t="shared" si="580"/>
        <v>68834.157923241888</v>
      </c>
      <c r="AD423" s="57">
        <f t="shared" si="580"/>
        <v>42977.203801836426</v>
      </c>
      <c r="AE423" s="57">
        <f t="shared" si="580"/>
        <v>25611.203694669523</v>
      </c>
      <c r="AF423" s="57">
        <f t="shared" si="580"/>
        <v>0</v>
      </c>
      <c r="AG423" s="57">
        <f t="shared" si="580"/>
        <v>14898.227200070734</v>
      </c>
      <c r="AH423" s="92">
        <f>Q423+R423-Y423+Z423+X423+AA423+AB423+AC423+AD423+AE423+AF423+AG423</f>
        <v>624474.38620780222</v>
      </c>
      <c r="AI423" s="92">
        <f>AH423*12</f>
        <v>7493692.6344936267</v>
      </c>
      <c r="AJ423" s="457" t="s">
        <v>101</v>
      </c>
      <c r="AK423" s="458"/>
      <c r="AL423" s="458"/>
      <c r="AM423" s="76">
        <v>27</v>
      </c>
      <c r="AN423" s="199" t="s">
        <v>585</v>
      </c>
      <c r="AO423" s="124">
        <f t="shared" ref="AO423:AZ423" si="581">AO396+AO422</f>
        <v>4231393.8913319996</v>
      </c>
      <c r="AP423" s="124">
        <f t="shared" si="581"/>
        <v>1410464.6271106664</v>
      </c>
      <c r="AQ423" s="124">
        <f t="shared" si="581"/>
        <v>57460.515671599431</v>
      </c>
      <c r="AR423" s="124">
        <f t="shared" si="581"/>
        <v>385797.6690619603</v>
      </c>
      <c r="AS423" s="124">
        <f t="shared" si="581"/>
        <v>3386.38</v>
      </c>
      <c r="AT423" s="124">
        <f t="shared" si="581"/>
        <v>705232.31355533318</v>
      </c>
      <c r="AU423" s="124">
        <f t="shared" si="581"/>
        <v>141046.46671106666</v>
      </c>
      <c r="AV423" s="124">
        <f t="shared" si="581"/>
        <v>897219.58269363316</v>
      </c>
      <c r="AW423" s="124">
        <f t="shared" si="581"/>
        <v>560495.78614919528</v>
      </c>
      <c r="AX423" s="124">
        <f t="shared" si="581"/>
        <v>334229.99481763982</v>
      </c>
      <c r="AY423" s="124">
        <f t="shared" si="581"/>
        <v>0</v>
      </c>
      <c r="AZ423" s="124">
        <f t="shared" si="581"/>
        <v>194644.10806127195</v>
      </c>
      <c r="BA423" s="94"/>
      <c r="BB423" s="92">
        <f>AO423+AP423+AQ423-AR423+AS423+AU423+AV423+AT423+AW423+AX423+AY423+AZ423</f>
        <v>8149775.997040445</v>
      </c>
      <c r="BC423" s="95"/>
      <c r="BD423" s="95"/>
      <c r="BE423" s="95"/>
    </row>
    <row r="424" spans="1:177" ht="21" customHeight="1" x14ac:dyDescent="0.2">
      <c r="B424" s="457" t="s">
        <v>103</v>
      </c>
      <c r="C424" s="458"/>
      <c r="D424" s="458"/>
      <c r="E424" s="76">
        <f>E422-E423</f>
        <v>2</v>
      </c>
      <c r="F424" s="76"/>
      <c r="G424" s="471"/>
      <c r="H424" s="471"/>
      <c r="I424" s="471"/>
      <c r="J424" s="471"/>
      <c r="K424" s="471"/>
      <c r="L424" s="471"/>
      <c r="M424" s="471"/>
      <c r="N424" s="471"/>
      <c r="O424" s="471"/>
      <c r="P424" s="471"/>
      <c r="Q424" s="471"/>
      <c r="R424" s="471"/>
      <c r="S424" s="471"/>
      <c r="T424" s="471"/>
      <c r="U424" s="471"/>
      <c r="V424" s="471"/>
      <c r="W424" s="471"/>
      <c r="X424" s="471"/>
      <c r="Y424" s="471"/>
      <c r="Z424" s="471"/>
      <c r="AA424" s="471"/>
      <c r="AB424" s="471"/>
      <c r="AC424" s="471"/>
      <c r="AD424" s="471"/>
      <c r="AE424" s="471"/>
      <c r="AF424" s="471"/>
      <c r="AG424" s="472"/>
      <c r="AH424" s="92"/>
      <c r="AI424" s="92"/>
      <c r="AJ424" s="457" t="s">
        <v>103</v>
      </c>
      <c r="AK424" s="458"/>
      <c r="AL424" s="458"/>
      <c r="AM424" s="76">
        <f>AM422-AM423</f>
        <v>2</v>
      </c>
      <c r="AN424" s="76"/>
      <c r="AO424" s="481"/>
      <c r="AP424" s="482"/>
      <c r="AQ424" s="482"/>
      <c r="AR424" s="482"/>
      <c r="AS424" s="482"/>
      <c r="AT424" s="482"/>
      <c r="AU424" s="482"/>
      <c r="AV424" s="482"/>
      <c r="AW424" s="482"/>
      <c r="AX424" s="482"/>
      <c r="AY424" s="482"/>
      <c r="AZ424" s="483"/>
      <c r="BA424" s="152"/>
      <c r="BB424" s="92"/>
      <c r="BC424" s="95"/>
      <c r="BD424" s="95"/>
      <c r="BE424" s="95"/>
    </row>
    <row r="425" spans="1:177" ht="21" customHeight="1" x14ac:dyDescent="0.2">
      <c r="B425" s="5"/>
      <c r="C425" s="94"/>
      <c r="D425" s="5"/>
      <c r="E425" s="94"/>
      <c r="G425" s="27"/>
      <c r="H425" s="27"/>
      <c r="I425" s="95"/>
      <c r="J425" s="95"/>
      <c r="K425" s="95"/>
      <c r="L425" s="27"/>
      <c r="M425" s="128"/>
      <c r="N425" s="66"/>
      <c r="O425" s="95"/>
      <c r="P425" s="66"/>
      <c r="Q425" s="66"/>
      <c r="R425" s="66"/>
      <c r="S425" s="66"/>
      <c r="T425" s="95"/>
      <c r="U425" s="66"/>
      <c r="V425" s="95"/>
      <c r="W425" s="129"/>
      <c r="X425" s="130"/>
      <c r="Y425" s="66"/>
      <c r="Z425" s="66"/>
      <c r="AA425" s="66"/>
      <c r="AB425" s="66"/>
      <c r="AC425" s="66"/>
      <c r="AD425" s="66"/>
      <c r="AE425" s="66"/>
      <c r="AF425" s="66"/>
      <c r="AG425" s="66"/>
      <c r="AH425" s="64"/>
      <c r="AI425" s="64"/>
      <c r="AJ425" s="5"/>
      <c r="AK425" s="94"/>
      <c r="AL425" s="5"/>
      <c r="AM425" s="94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2"/>
      <c r="BB425" s="92"/>
      <c r="BC425" s="95"/>
      <c r="BD425" s="95"/>
      <c r="BE425" s="95"/>
    </row>
    <row r="426" spans="1:177" ht="21" customHeight="1" thickBot="1" x14ac:dyDescent="0.25">
      <c r="B426" s="5"/>
      <c r="C426" s="94"/>
      <c r="D426" s="5"/>
      <c r="E426" s="94"/>
      <c r="G426" s="27"/>
      <c r="H426" s="27"/>
      <c r="I426" s="95"/>
      <c r="J426" s="95"/>
      <c r="K426" s="95"/>
      <c r="L426" s="27"/>
      <c r="M426" s="128"/>
      <c r="N426" s="66"/>
      <c r="O426" s="95"/>
      <c r="P426" s="66"/>
      <c r="Q426" s="66"/>
      <c r="R426" s="66"/>
      <c r="S426" s="66"/>
      <c r="T426" s="95"/>
      <c r="U426" s="66"/>
      <c r="V426" s="95"/>
      <c r="W426" s="129"/>
      <c r="X426" s="130"/>
      <c r="Y426" s="66"/>
      <c r="Z426" s="66"/>
      <c r="AA426" s="66"/>
      <c r="AB426" s="66"/>
      <c r="AC426" s="66"/>
      <c r="AD426" s="66"/>
      <c r="AE426" s="66"/>
      <c r="AF426" s="66"/>
      <c r="AG426" s="66"/>
      <c r="AH426" s="64"/>
      <c r="AI426" s="64"/>
      <c r="AJ426" s="5"/>
      <c r="AK426" s="94"/>
      <c r="AL426" s="5"/>
      <c r="AM426" s="94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2"/>
      <c r="BB426" s="92"/>
      <c r="BC426" s="95"/>
      <c r="BD426" s="95"/>
      <c r="BE426" s="95"/>
    </row>
    <row r="427" spans="1:177" s="134" customFormat="1" ht="21" customHeight="1" thickBot="1" x14ac:dyDescent="0.25">
      <c r="A427" s="94"/>
      <c r="B427" s="476" t="s">
        <v>586</v>
      </c>
      <c r="C427" s="477"/>
      <c r="D427" s="477"/>
      <c r="E427" s="478"/>
      <c r="F427" s="466" t="s">
        <v>4</v>
      </c>
      <c r="G427" s="7" t="s">
        <v>5</v>
      </c>
      <c r="H427" s="8" t="s">
        <v>6</v>
      </c>
      <c r="I427" s="9" t="s">
        <v>7</v>
      </c>
      <c r="J427" s="9"/>
      <c r="K427" s="9"/>
      <c r="L427" s="9"/>
      <c r="M427" s="10">
        <v>4.0000000000000002E-4</v>
      </c>
      <c r="N427" s="11" t="s">
        <v>8</v>
      </c>
      <c r="O427" s="12" t="s">
        <v>9</v>
      </c>
      <c r="P427" s="12" t="s">
        <v>10</v>
      </c>
      <c r="Q427" s="13" t="s">
        <v>11</v>
      </c>
      <c r="R427" s="12" t="s">
        <v>12</v>
      </c>
      <c r="S427" s="14" t="s">
        <v>11</v>
      </c>
      <c r="T427" s="15" t="s">
        <v>13</v>
      </c>
      <c r="U427" s="16" t="s">
        <v>11</v>
      </c>
      <c r="V427" s="17" t="s">
        <v>12</v>
      </c>
      <c r="W427" s="18" t="s">
        <v>14</v>
      </c>
      <c r="X427" s="19" t="s">
        <v>15</v>
      </c>
      <c r="Y427" s="15" t="s">
        <v>16</v>
      </c>
      <c r="Z427" s="13" t="s">
        <v>17</v>
      </c>
      <c r="AA427" s="20" t="s">
        <v>18</v>
      </c>
      <c r="AB427" s="17" t="s">
        <v>19</v>
      </c>
      <c r="AC427" s="13" t="s">
        <v>20</v>
      </c>
      <c r="AD427" s="13" t="s">
        <v>21</v>
      </c>
      <c r="AE427" s="13" t="s">
        <v>22</v>
      </c>
      <c r="AF427" s="17" t="s">
        <v>23</v>
      </c>
      <c r="AG427" s="12" t="s">
        <v>24</v>
      </c>
      <c r="AH427" s="132"/>
      <c r="AI427" s="132"/>
      <c r="AJ427" s="476" t="s">
        <v>586</v>
      </c>
      <c r="AK427" s="477"/>
      <c r="AL427" s="477"/>
      <c r="AM427" s="478"/>
      <c r="AN427" s="466" t="s">
        <v>4</v>
      </c>
      <c r="AO427" s="133" t="s">
        <v>11</v>
      </c>
      <c r="AP427" s="12" t="s">
        <v>12</v>
      </c>
      <c r="AQ427" s="23" t="s">
        <v>15</v>
      </c>
      <c r="AR427" s="22" t="s">
        <v>16</v>
      </c>
      <c r="AS427" s="22" t="s">
        <v>25</v>
      </c>
      <c r="AT427" s="20" t="s">
        <v>26</v>
      </c>
      <c r="AU427" s="24" t="s">
        <v>27</v>
      </c>
      <c r="AV427" s="23" t="s">
        <v>20</v>
      </c>
      <c r="AW427" s="22" t="s">
        <v>28</v>
      </c>
      <c r="AX427" s="22" t="s">
        <v>29</v>
      </c>
      <c r="AY427" s="25" t="s">
        <v>23</v>
      </c>
      <c r="AZ427" s="24" t="s">
        <v>24</v>
      </c>
      <c r="BA427" s="94"/>
      <c r="BB427" s="92"/>
      <c r="BC427" s="95"/>
      <c r="BD427" s="95"/>
      <c r="BE427" s="95"/>
      <c r="BF427" s="94"/>
      <c r="BG427" s="94"/>
      <c r="BH427" s="94"/>
      <c r="BI427" s="94"/>
      <c r="BJ427" s="94"/>
      <c r="BK427" s="94"/>
      <c r="BL427" s="94"/>
      <c r="BM427" s="94"/>
      <c r="BN427" s="94"/>
      <c r="BO427" s="94"/>
      <c r="BP427" s="94"/>
      <c r="BQ427" s="94"/>
      <c r="BR427" s="94"/>
      <c r="BS427" s="94"/>
      <c r="BT427" s="94"/>
      <c r="BU427" s="94"/>
      <c r="BV427" s="94"/>
      <c r="BW427" s="94"/>
      <c r="BX427" s="94"/>
      <c r="BY427" s="94"/>
      <c r="BZ427" s="94"/>
      <c r="CA427" s="94"/>
      <c r="CB427" s="94"/>
      <c r="CC427" s="94"/>
      <c r="CD427" s="94"/>
      <c r="CE427" s="94"/>
      <c r="CF427" s="94"/>
      <c r="CG427" s="94"/>
      <c r="CH427" s="94"/>
      <c r="CI427" s="94"/>
      <c r="CJ427" s="94"/>
      <c r="CK427" s="94"/>
      <c r="CL427" s="94"/>
      <c r="CM427" s="94"/>
      <c r="CN427" s="94"/>
      <c r="CO427" s="94"/>
      <c r="CP427" s="94"/>
      <c r="CQ427" s="94"/>
      <c r="CR427" s="94"/>
      <c r="CS427" s="94"/>
      <c r="CT427" s="94"/>
      <c r="CU427" s="94"/>
      <c r="CV427" s="94"/>
      <c r="CW427" s="94"/>
      <c r="CX427" s="94"/>
      <c r="CY427" s="94"/>
      <c r="CZ427" s="94"/>
      <c r="DA427" s="94"/>
      <c r="DB427" s="94"/>
      <c r="DC427" s="94"/>
      <c r="DD427" s="94"/>
      <c r="DE427" s="94"/>
      <c r="DF427" s="94"/>
      <c r="DG427" s="94"/>
      <c r="DH427" s="94"/>
      <c r="DI427" s="94"/>
      <c r="DJ427" s="94"/>
      <c r="DK427" s="94"/>
      <c r="DL427" s="94"/>
      <c r="DM427" s="94"/>
      <c r="DN427" s="94"/>
      <c r="DO427" s="94"/>
      <c r="DP427" s="94"/>
      <c r="DQ427" s="94"/>
      <c r="DR427" s="94"/>
      <c r="DS427" s="94"/>
      <c r="DT427" s="94"/>
      <c r="DU427" s="94"/>
      <c r="DV427" s="94"/>
      <c r="DW427" s="94"/>
      <c r="DX427" s="94"/>
      <c r="DY427" s="94"/>
      <c r="DZ427" s="94"/>
      <c r="EA427" s="94"/>
      <c r="EB427" s="94"/>
      <c r="EC427" s="94"/>
      <c r="ED427" s="94"/>
      <c r="EE427" s="94"/>
      <c r="EF427" s="94"/>
      <c r="EG427" s="94"/>
      <c r="EH427" s="94"/>
      <c r="EI427" s="94"/>
      <c r="EJ427" s="94"/>
      <c r="EK427" s="94"/>
      <c r="EL427" s="94"/>
      <c r="EM427" s="94"/>
      <c r="EN427" s="94"/>
      <c r="EO427" s="94"/>
      <c r="EP427" s="94"/>
      <c r="EQ427" s="94"/>
      <c r="ER427" s="94"/>
      <c r="ES427" s="94"/>
      <c r="ET427" s="94"/>
      <c r="EU427" s="94"/>
      <c r="EV427" s="94"/>
      <c r="EW427" s="94"/>
      <c r="EX427" s="94"/>
      <c r="EY427" s="94"/>
      <c r="EZ427" s="94"/>
      <c r="FA427" s="94"/>
      <c r="FB427" s="94"/>
      <c r="FC427" s="94"/>
      <c r="FD427" s="94"/>
      <c r="FE427" s="94"/>
      <c r="FF427" s="94"/>
      <c r="FG427" s="94"/>
      <c r="FH427" s="94"/>
      <c r="FI427" s="94"/>
      <c r="FJ427" s="94"/>
      <c r="FK427" s="94"/>
      <c r="FL427" s="94"/>
      <c r="FM427" s="94"/>
      <c r="FN427" s="94"/>
      <c r="FO427" s="94"/>
      <c r="FP427" s="94"/>
      <c r="FQ427" s="94"/>
      <c r="FR427" s="94"/>
      <c r="FS427" s="94"/>
      <c r="FT427" s="94"/>
      <c r="FU427" s="94"/>
    </row>
    <row r="428" spans="1:177" s="134" customFormat="1" ht="21" customHeight="1" thickBot="1" x14ac:dyDescent="0.25">
      <c r="A428" s="94"/>
      <c r="B428" s="30" t="s">
        <v>30</v>
      </c>
      <c r="C428" s="6" t="s">
        <v>31</v>
      </c>
      <c r="D428" s="30" t="s">
        <v>105</v>
      </c>
      <c r="E428" s="32" t="s">
        <v>32</v>
      </c>
      <c r="F428" s="467"/>
      <c r="G428" s="33" t="s">
        <v>33</v>
      </c>
      <c r="H428" s="34">
        <v>45657</v>
      </c>
      <c r="I428" s="35">
        <v>2023</v>
      </c>
      <c r="J428" s="35"/>
      <c r="K428" s="35"/>
      <c r="L428" s="35"/>
      <c r="M428" s="36"/>
      <c r="N428" s="37"/>
      <c r="O428" s="38">
        <v>2024</v>
      </c>
      <c r="P428" s="39" t="s">
        <v>34</v>
      </c>
      <c r="Q428" s="40" t="s">
        <v>35</v>
      </c>
      <c r="R428" s="39" t="s">
        <v>36</v>
      </c>
      <c r="S428" s="41" t="s">
        <v>37</v>
      </c>
      <c r="T428" s="42" t="s">
        <v>38</v>
      </c>
      <c r="U428" s="43" t="s">
        <v>39</v>
      </c>
      <c r="V428" s="41" t="s">
        <v>39</v>
      </c>
      <c r="W428" s="44" t="s">
        <v>15</v>
      </c>
      <c r="X428" s="45" t="s">
        <v>35</v>
      </c>
      <c r="Y428" s="42" t="s">
        <v>35</v>
      </c>
      <c r="Z428" s="40" t="s">
        <v>35</v>
      </c>
      <c r="AA428" s="46" t="s">
        <v>35</v>
      </c>
      <c r="AB428" s="41" t="s">
        <v>35</v>
      </c>
      <c r="AC428" s="40" t="s">
        <v>35</v>
      </c>
      <c r="AD428" s="40" t="s">
        <v>35</v>
      </c>
      <c r="AE428" s="40" t="s">
        <v>35</v>
      </c>
      <c r="AF428" s="41" t="s">
        <v>35</v>
      </c>
      <c r="AG428" s="40" t="s">
        <v>35</v>
      </c>
      <c r="AH428" s="135"/>
      <c r="AI428" s="135"/>
      <c r="AJ428" s="30" t="s">
        <v>30</v>
      </c>
      <c r="AK428" s="6" t="s">
        <v>31</v>
      </c>
      <c r="AL428" s="30" t="s">
        <v>105</v>
      </c>
      <c r="AM428" s="32" t="s">
        <v>32</v>
      </c>
      <c r="AN428" s="467"/>
      <c r="AO428" s="46" t="s">
        <v>40</v>
      </c>
      <c r="AP428" s="39" t="s">
        <v>41</v>
      </c>
      <c r="AQ428" s="48" t="s">
        <v>40</v>
      </c>
      <c r="AR428" s="49" t="s">
        <v>40</v>
      </c>
      <c r="AS428" s="49" t="s">
        <v>40</v>
      </c>
      <c r="AT428" s="46" t="s">
        <v>40</v>
      </c>
      <c r="AU428" s="49" t="s">
        <v>40</v>
      </c>
      <c r="AV428" s="48" t="s">
        <v>40</v>
      </c>
      <c r="AW428" s="49" t="s">
        <v>40</v>
      </c>
      <c r="AX428" s="49" t="s">
        <v>40</v>
      </c>
      <c r="AY428" s="48" t="s">
        <v>40</v>
      </c>
      <c r="AZ428" s="49" t="s">
        <v>40</v>
      </c>
      <c r="BA428" s="94"/>
      <c r="BB428" s="92"/>
      <c r="BC428" s="95"/>
      <c r="BD428" s="95"/>
      <c r="BE428" s="95"/>
      <c r="BF428" s="94"/>
      <c r="BG428" s="94"/>
      <c r="BH428" s="94"/>
      <c r="BI428" s="94"/>
      <c r="BJ428" s="94"/>
      <c r="BK428" s="94"/>
      <c r="BL428" s="94"/>
      <c r="BM428" s="94"/>
      <c r="BN428" s="94"/>
      <c r="BO428" s="94"/>
      <c r="BP428" s="94"/>
      <c r="BQ428" s="94"/>
      <c r="BR428" s="94"/>
      <c r="BS428" s="94"/>
      <c r="BT428" s="94"/>
      <c r="BU428" s="94"/>
      <c r="BV428" s="94"/>
      <c r="BW428" s="94"/>
      <c r="BX428" s="94"/>
      <c r="BY428" s="94"/>
      <c r="BZ428" s="94"/>
      <c r="CA428" s="94"/>
      <c r="CB428" s="94"/>
      <c r="CC428" s="94"/>
      <c r="CD428" s="94"/>
      <c r="CE428" s="94"/>
      <c r="CF428" s="94"/>
      <c r="CG428" s="94"/>
      <c r="CH428" s="94"/>
      <c r="CI428" s="94"/>
      <c r="CJ428" s="94"/>
      <c r="CK428" s="94"/>
      <c r="CL428" s="94"/>
      <c r="CM428" s="94"/>
      <c r="CN428" s="94"/>
      <c r="CO428" s="94"/>
      <c r="CP428" s="94"/>
      <c r="CQ428" s="94"/>
      <c r="CR428" s="94"/>
      <c r="CS428" s="94"/>
      <c r="CT428" s="94"/>
      <c r="CU428" s="94"/>
      <c r="CV428" s="94"/>
      <c r="CW428" s="94"/>
      <c r="CX428" s="94"/>
      <c r="CY428" s="94"/>
      <c r="CZ428" s="94"/>
      <c r="DA428" s="94"/>
      <c r="DB428" s="94"/>
      <c r="DC428" s="94"/>
      <c r="DD428" s="94"/>
      <c r="DE428" s="94"/>
      <c r="DF428" s="94"/>
      <c r="DG428" s="94"/>
      <c r="DH428" s="94"/>
      <c r="DI428" s="94"/>
      <c r="DJ428" s="94"/>
      <c r="DK428" s="94"/>
      <c r="DL428" s="94"/>
      <c r="DM428" s="94"/>
      <c r="DN428" s="94"/>
      <c r="DO428" s="94"/>
      <c r="DP428" s="94"/>
      <c r="DQ428" s="94"/>
      <c r="DR428" s="94"/>
      <c r="DS428" s="94"/>
      <c r="DT428" s="94"/>
      <c r="DU428" s="94"/>
      <c r="DV428" s="94"/>
      <c r="DW428" s="94"/>
      <c r="DX428" s="94"/>
      <c r="DY428" s="94"/>
      <c r="DZ428" s="94"/>
      <c r="EA428" s="94"/>
      <c r="EB428" s="94"/>
      <c r="EC428" s="94"/>
      <c r="ED428" s="94"/>
      <c r="EE428" s="94"/>
      <c r="EF428" s="94"/>
      <c r="EG428" s="94"/>
      <c r="EH428" s="94"/>
      <c r="EI428" s="94"/>
      <c r="EJ428" s="94"/>
      <c r="EK428" s="94"/>
      <c r="EL428" s="94"/>
      <c r="EM428" s="94"/>
      <c r="EN428" s="94"/>
      <c r="EO428" s="94"/>
      <c r="EP428" s="94"/>
      <c r="EQ428" s="94"/>
      <c r="ER428" s="94"/>
      <c r="ES428" s="94"/>
      <c r="ET428" s="94"/>
      <c r="EU428" s="94"/>
      <c r="EV428" s="94"/>
      <c r="EW428" s="94"/>
      <c r="EX428" s="94"/>
      <c r="EY428" s="94"/>
      <c r="EZ428" s="94"/>
      <c r="FA428" s="94"/>
      <c r="FB428" s="94"/>
      <c r="FC428" s="94"/>
      <c r="FD428" s="94"/>
      <c r="FE428" s="94"/>
      <c r="FF428" s="94"/>
      <c r="FG428" s="94"/>
      <c r="FH428" s="94"/>
      <c r="FI428" s="94"/>
      <c r="FJ428" s="94"/>
      <c r="FK428" s="94"/>
      <c r="FL428" s="94"/>
      <c r="FM428" s="94"/>
      <c r="FN428" s="94"/>
      <c r="FO428" s="94"/>
      <c r="FP428" s="94"/>
      <c r="FQ428" s="94"/>
      <c r="FR428" s="94"/>
      <c r="FS428" s="94"/>
      <c r="FT428" s="94"/>
      <c r="FU428" s="94"/>
    </row>
    <row r="429" spans="1:177" ht="21" customHeight="1" x14ac:dyDescent="0.2">
      <c r="B429" s="51">
        <v>1</v>
      </c>
      <c r="C429" s="77" t="s">
        <v>42</v>
      </c>
      <c r="D429" s="51">
        <v>9064</v>
      </c>
      <c r="E429" s="77" t="s">
        <v>587</v>
      </c>
      <c r="F429" s="54" t="s">
        <v>588</v>
      </c>
      <c r="G429" s="55">
        <v>40151</v>
      </c>
      <c r="H429" s="56" t="str">
        <f t="shared" ref="H429:H432" si="582" xml:space="preserve"> CONCATENATE(DATEDIF(G429,H$5,"Y")," AÑOS")</f>
        <v>15 AÑOS</v>
      </c>
      <c r="I429" s="57">
        <v>16987.634498481486</v>
      </c>
      <c r="J429" s="58"/>
      <c r="K429" s="58"/>
      <c r="L429" s="59"/>
      <c r="M429" s="60">
        <v>4.0000000000000002E-4</v>
      </c>
      <c r="N429" s="61">
        <f>I429*0.04</f>
        <v>679.50537993925946</v>
      </c>
      <c r="O429" s="58">
        <f>I429+N429</f>
        <v>17667.139878420745</v>
      </c>
      <c r="P429" s="61">
        <f>O429*2</f>
        <v>35334.27975684149</v>
      </c>
      <c r="Q429" s="61">
        <f>P429*0.75</f>
        <v>26500.709817631119</v>
      </c>
      <c r="R429" s="61">
        <f>P429*0.25</f>
        <v>8833.5699392103725</v>
      </c>
      <c r="S429" s="61">
        <f>(P429/30)</f>
        <v>1177.8093252280496</v>
      </c>
      <c r="T429" s="58">
        <f t="shared" ref="T429:T432" si="583">S429*1.1479</f>
        <v>1352.007324429278</v>
      </c>
      <c r="U429" s="61">
        <f>O429*0.75</f>
        <v>13250.35490881556</v>
      </c>
      <c r="V429" s="58">
        <f>O429*0.25</f>
        <v>4416.7849696051862</v>
      </c>
      <c r="W429" s="62">
        <v>0</v>
      </c>
      <c r="X429" s="63">
        <f>P429*W429</f>
        <v>0</v>
      </c>
      <c r="Y429" s="61">
        <v>4014.4276650460074</v>
      </c>
      <c r="Z429" s="61">
        <v>0</v>
      </c>
      <c r="AA429" s="61">
        <f>(S429*45)/12</f>
        <v>4416.7849696051862</v>
      </c>
      <c r="AB429" s="61">
        <f>(S429*10)*(0.45*2)/12</f>
        <v>883.35699392103731</v>
      </c>
      <c r="AC429" s="61">
        <v>4879.0358865914841</v>
      </c>
      <c r="AD429" s="61">
        <v>3543.6787976953588</v>
      </c>
      <c r="AE429" s="61">
        <v>2095.6113528653809</v>
      </c>
      <c r="AF429" s="61">
        <v>0</v>
      </c>
      <c r="AG429" s="61">
        <f>(P429+AA429+AB429)*0.03</f>
        <v>1219.0326516110313</v>
      </c>
      <c r="AH429" s="64"/>
      <c r="AI429" s="64"/>
      <c r="AJ429" s="51">
        <v>1</v>
      </c>
      <c r="AK429" s="77" t="s">
        <v>42</v>
      </c>
      <c r="AL429" s="51">
        <v>9064</v>
      </c>
      <c r="AM429" s="77" t="s">
        <v>587</v>
      </c>
      <c r="AN429" s="54" t="s">
        <v>588</v>
      </c>
      <c r="AO429" s="138">
        <f t="shared" ref="AO429:AP432" si="584">Q429*12</f>
        <v>318008.51781157346</v>
      </c>
      <c r="AP429" s="65">
        <f t="shared" si="584"/>
        <v>106002.83927052448</v>
      </c>
      <c r="AQ429" s="65">
        <f t="shared" ref="AQ429:AZ432" si="585">X429*12</f>
        <v>0</v>
      </c>
      <c r="AR429" s="65">
        <f t="shared" si="585"/>
        <v>48173.131980552091</v>
      </c>
      <c r="AS429" s="65">
        <f t="shared" si="585"/>
        <v>0</v>
      </c>
      <c r="AT429" s="65">
        <f t="shared" si="585"/>
        <v>53001.419635262238</v>
      </c>
      <c r="AU429" s="65">
        <f t="shared" si="585"/>
        <v>10600.283927052447</v>
      </c>
      <c r="AV429" s="65">
        <f t="shared" si="585"/>
        <v>58548.430639097809</v>
      </c>
      <c r="AW429" s="65">
        <f t="shared" si="585"/>
        <v>42524.145572344307</v>
      </c>
      <c r="AX429" s="65">
        <f t="shared" si="585"/>
        <v>25147.336234384573</v>
      </c>
      <c r="AY429" s="65">
        <f t="shared" si="585"/>
        <v>0</v>
      </c>
      <c r="AZ429" s="65">
        <f t="shared" si="585"/>
        <v>14628.391819332375</v>
      </c>
      <c r="BB429" s="64"/>
      <c r="BC429" s="66"/>
      <c r="BD429" s="66"/>
      <c r="BE429" s="66"/>
    </row>
    <row r="430" spans="1:177" ht="21" customHeight="1" x14ac:dyDescent="0.2">
      <c r="B430" s="83">
        <v>2</v>
      </c>
      <c r="C430" s="73" t="s">
        <v>42</v>
      </c>
      <c r="D430" s="67">
        <v>9118</v>
      </c>
      <c r="E430" s="73" t="s">
        <v>589</v>
      </c>
      <c r="F430" s="69" t="s">
        <v>590</v>
      </c>
      <c r="G430" s="56">
        <v>43466</v>
      </c>
      <c r="H430" s="56" t="str">
        <f xml:space="preserve"> CONCATENATE(DATEDIF(G430,H$5,"Y")," AÑOS")</f>
        <v>5 AÑOS</v>
      </c>
      <c r="I430" s="57">
        <v>6742.4213176320018</v>
      </c>
      <c r="J430" s="58"/>
      <c r="K430" s="58"/>
      <c r="L430" s="59"/>
      <c r="M430" s="60">
        <v>4.0000000000000002E-4</v>
      </c>
      <c r="N430" s="61">
        <f>I430*0.04</f>
        <v>269.69685270528009</v>
      </c>
      <c r="O430" s="58">
        <f>I430+N430</f>
        <v>7012.1181703372822</v>
      </c>
      <c r="P430" s="61">
        <f>O430*2</f>
        <v>14024.236340674564</v>
      </c>
      <c r="Q430" s="61">
        <f>P430*0.75</f>
        <v>10518.177255505923</v>
      </c>
      <c r="R430" s="61">
        <f>P430*0.25</f>
        <v>3506.0590851686411</v>
      </c>
      <c r="S430" s="61">
        <f>(P430/30)</f>
        <v>467.47454468915214</v>
      </c>
      <c r="T430" s="58">
        <f t="shared" si="583"/>
        <v>536.61402984867766</v>
      </c>
      <c r="U430" s="61">
        <f>O430*0.75</f>
        <v>5259.0886277529617</v>
      </c>
      <c r="V430" s="58">
        <f>O430*0.25</f>
        <v>1753.0295425843206</v>
      </c>
      <c r="W430" s="62">
        <v>0</v>
      </c>
      <c r="X430" s="63">
        <f>P430*W430</f>
        <v>0</v>
      </c>
      <c r="Y430" s="61">
        <v>831.41694939904437</v>
      </c>
      <c r="Z430" s="61">
        <v>0</v>
      </c>
      <c r="AA430" s="61">
        <f>(S430*45)/12</f>
        <v>1753.0295425843206</v>
      </c>
      <c r="AB430" s="61">
        <f>(S430*10)*(0.45*2)/12</f>
        <v>350.60590851686408</v>
      </c>
      <c r="AC430" s="61">
        <v>2267.2371492029561</v>
      </c>
      <c r="AD430" s="61">
        <v>1406.4922029348763</v>
      </c>
      <c r="AE430" s="61">
        <v>831.75174626545038</v>
      </c>
      <c r="AF430" s="61">
        <v>0</v>
      </c>
      <c r="AG430" s="61">
        <f>(P430+AA430+AB430)*0.03</f>
        <v>483.83615375327247</v>
      </c>
      <c r="AH430" s="64"/>
      <c r="AI430" s="64"/>
      <c r="AJ430" s="83">
        <v>2</v>
      </c>
      <c r="AK430" s="73" t="s">
        <v>42</v>
      </c>
      <c r="AL430" s="67">
        <v>9118</v>
      </c>
      <c r="AM430" s="73" t="s">
        <v>589</v>
      </c>
      <c r="AN430" s="69" t="s">
        <v>590</v>
      </c>
      <c r="AO430" s="138">
        <f t="shared" si="584"/>
        <v>126218.12706607109</v>
      </c>
      <c r="AP430" s="65">
        <f t="shared" si="584"/>
        <v>42072.709022023693</v>
      </c>
      <c r="AQ430" s="65">
        <f t="shared" si="585"/>
        <v>0</v>
      </c>
      <c r="AR430" s="65">
        <f t="shared" si="585"/>
        <v>9977.0033927885324</v>
      </c>
      <c r="AS430" s="65">
        <f t="shared" si="585"/>
        <v>0</v>
      </c>
      <c r="AT430" s="65">
        <f t="shared" si="585"/>
        <v>21036.354511011847</v>
      </c>
      <c r="AU430" s="65">
        <f t="shared" si="585"/>
        <v>4207.2709022023691</v>
      </c>
      <c r="AV430" s="65">
        <f t="shared" si="585"/>
        <v>27206.845790435473</v>
      </c>
      <c r="AW430" s="65">
        <f t="shared" si="585"/>
        <v>16877.906435218516</v>
      </c>
      <c r="AX430" s="65">
        <f t="shared" si="585"/>
        <v>9981.0209551854041</v>
      </c>
      <c r="AY430" s="65">
        <f t="shared" si="585"/>
        <v>0</v>
      </c>
      <c r="AZ430" s="65">
        <f t="shared" si="585"/>
        <v>5806.0338450392701</v>
      </c>
      <c r="BB430" s="64"/>
      <c r="BC430" s="66"/>
      <c r="BD430" s="66"/>
      <c r="BE430" s="66"/>
    </row>
    <row r="431" spans="1:177" ht="21" customHeight="1" x14ac:dyDescent="0.2">
      <c r="B431" s="67">
        <v>3</v>
      </c>
      <c r="C431" s="73" t="s">
        <v>42</v>
      </c>
      <c r="D431" s="67">
        <v>13345</v>
      </c>
      <c r="E431" s="69" t="s">
        <v>591</v>
      </c>
      <c r="F431" s="72" t="s">
        <v>592</v>
      </c>
      <c r="G431" s="55">
        <v>43430</v>
      </c>
      <c r="H431" s="56" t="str">
        <f t="shared" si="582"/>
        <v>6 AÑOS</v>
      </c>
      <c r="I431" s="57">
        <v>10603.690158779073</v>
      </c>
      <c r="J431" s="58"/>
      <c r="K431" s="58"/>
      <c r="L431" s="59"/>
      <c r="M431" s="60">
        <v>4.0000000000000002E-4</v>
      </c>
      <c r="N431" s="61">
        <f>I431*0.04</f>
        <v>424.14760635116289</v>
      </c>
      <c r="O431" s="58">
        <f>I431+N431</f>
        <v>11027.837765130236</v>
      </c>
      <c r="P431" s="61">
        <f>O431*2</f>
        <v>22055.675530260472</v>
      </c>
      <c r="Q431" s="61">
        <f>P431*0.75</f>
        <v>16541.756647695354</v>
      </c>
      <c r="R431" s="61">
        <f>P431*0.25</f>
        <v>5513.9188825651181</v>
      </c>
      <c r="S431" s="61">
        <f>(P431/30)</f>
        <v>735.18918434201578</v>
      </c>
      <c r="T431" s="58">
        <f t="shared" si="583"/>
        <v>843.92366470619982</v>
      </c>
      <c r="U431" s="61">
        <f>O431*0.75</f>
        <v>8270.8783238476772</v>
      </c>
      <c r="V431" s="58">
        <f>O431*0.25</f>
        <v>2756.9594412825591</v>
      </c>
      <c r="W431" s="62">
        <v>0</v>
      </c>
      <c r="X431" s="63">
        <f>P431*W431</f>
        <v>0</v>
      </c>
      <c r="Y431" s="61">
        <v>1887.1952679477276</v>
      </c>
      <c r="Z431" s="61">
        <v>0</v>
      </c>
      <c r="AA431" s="61">
        <f>(S431*45)/12</f>
        <v>2756.9594412825591</v>
      </c>
      <c r="AB431" s="61">
        <f>(S431*10)*(0.45*2)/12</f>
        <v>551.39188825651183</v>
      </c>
      <c r="AC431" s="61">
        <v>3251.5853424524985</v>
      </c>
      <c r="AD431" s="61">
        <v>2211.9661213781851</v>
      </c>
      <c r="AE431" s="61">
        <v>1308.0816802946099</v>
      </c>
      <c r="AF431" s="61">
        <v>0</v>
      </c>
      <c r="AG431" s="61">
        <f>(P431+AA431+AB431)*0.03</f>
        <v>760.92080579398635</v>
      </c>
      <c r="AH431" s="64"/>
      <c r="AI431" s="64"/>
      <c r="AJ431" s="67">
        <v>3</v>
      </c>
      <c r="AK431" s="73" t="s">
        <v>42</v>
      </c>
      <c r="AL431" s="67">
        <v>13345</v>
      </c>
      <c r="AM431" s="69" t="s">
        <v>591</v>
      </c>
      <c r="AN431" s="72" t="s">
        <v>592</v>
      </c>
      <c r="AO431" s="138">
        <f t="shared" si="584"/>
        <v>198501.07977234427</v>
      </c>
      <c r="AP431" s="65">
        <f t="shared" si="584"/>
        <v>66167.026590781417</v>
      </c>
      <c r="AQ431" s="65">
        <f t="shared" si="585"/>
        <v>0</v>
      </c>
      <c r="AR431" s="65">
        <f t="shared" si="585"/>
        <v>22646.343215372734</v>
      </c>
      <c r="AS431" s="65">
        <f t="shared" si="585"/>
        <v>0</v>
      </c>
      <c r="AT431" s="65">
        <f t="shared" si="585"/>
        <v>33083.513295390709</v>
      </c>
      <c r="AU431" s="65">
        <f t="shared" si="585"/>
        <v>6616.7026590781425</v>
      </c>
      <c r="AV431" s="65">
        <f t="shared" si="585"/>
        <v>39019.024109429985</v>
      </c>
      <c r="AW431" s="65">
        <f t="shared" si="585"/>
        <v>26543.593456538219</v>
      </c>
      <c r="AX431" s="65">
        <f t="shared" si="585"/>
        <v>15696.980163535318</v>
      </c>
      <c r="AY431" s="65">
        <f t="shared" si="585"/>
        <v>0</v>
      </c>
      <c r="AZ431" s="65">
        <f t="shared" si="585"/>
        <v>9131.0496695278362</v>
      </c>
      <c r="BB431" s="64"/>
      <c r="BC431" s="66"/>
      <c r="BD431" s="66"/>
      <c r="BE431" s="66"/>
    </row>
    <row r="432" spans="1:177" ht="21" customHeight="1" x14ac:dyDescent="0.2">
      <c r="B432" s="67">
        <v>4</v>
      </c>
      <c r="C432" s="73" t="s">
        <v>42</v>
      </c>
      <c r="D432" s="67">
        <v>13346</v>
      </c>
      <c r="E432" s="69" t="s">
        <v>593</v>
      </c>
      <c r="F432" s="72" t="s">
        <v>594</v>
      </c>
      <c r="G432" s="55">
        <v>43430</v>
      </c>
      <c r="H432" s="56" t="str">
        <f t="shared" si="582"/>
        <v>6 AÑOS</v>
      </c>
      <c r="I432" s="75">
        <v>8731.4525471738743</v>
      </c>
      <c r="J432" s="75"/>
      <c r="K432" s="75"/>
      <c r="L432" s="137"/>
      <c r="M432" s="60">
        <v>4.0000000000000002E-4</v>
      </c>
      <c r="N432" s="61">
        <f>I432*0.04</f>
        <v>349.25810188695499</v>
      </c>
      <c r="O432" s="58">
        <f>I432+N432</f>
        <v>9080.7106490608294</v>
      </c>
      <c r="P432" s="61">
        <f>O432*2</f>
        <v>18161.421298121659</v>
      </c>
      <c r="Q432" s="61">
        <f>P432*0.75</f>
        <v>13621.065973591245</v>
      </c>
      <c r="R432" s="61">
        <f>P432*0.25</f>
        <v>4540.3553245304147</v>
      </c>
      <c r="S432" s="61">
        <f>(P432/30)</f>
        <v>605.38070993738859</v>
      </c>
      <c r="T432" s="58">
        <f t="shared" si="583"/>
        <v>694.91651693712834</v>
      </c>
      <c r="U432" s="61">
        <f>O432*0.75</f>
        <v>6810.5329867956225</v>
      </c>
      <c r="V432" s="58">
        <f>O432*0.25</f>
        <v>2270.1776622652073</v>
      </c>
      <c r="W432" s="62">
        <v>0</v>
      </c>
      <c r="X432" s="63">
        <f>P432*W432</f>
        <v>0</v>
      </c>
      <c r="Y432" s="61">
        <v>1320.595918467551</v>
      </c>
      <c r="Z432" s="61">
        <v>0</v>
      </c>
      <c r="AA432" s="61">
        <f>(S432*45)/12</f>
        <v>2270.1776622652073</v>
      </c>
      <c r="AB432" s="61">
        <f>(S432*10)*(0.45*2)/12</f>
        <v>454.03553245304147</v>
      </c>
      <c r="AC432" s="61">
        <v>2774.2982676240249</v>
      </c>
      <c r="AD432" s="61">
        <v>1821.4109367180599</v>
      </c>
      <c r="AE432" s="61">
        <v>1077.1206012525488</v>
      </c>
      <c r="AF432" s="61">
        <v>0</v>
      </c>
      <c r="AG432" s="61">
        <f>(P432+AA432+AB432)*0.03</f>
        <v>626.56903478519723</v>
      </c>
      <c r="AH432" s="64"/>
      <c r="AI432" s="64"/>
      <c r="AJ432" s="67">
        <v>4</v>
      </c>
      <c r="AK432" s="73" t="s">
        <v>42</v>
      </c>
      <c r="AL432" s="67">
        <v>13346</v>
      </c>
      <c r="AM432" s="69" t="s">
        <v>593</v>
      </c>
      <c r="AN432" s="72" t="s">
        <v>594</v>
      </c>
      <c r="AO432" s="138">
        <f t="shared" si="584"/>
        <v>163452.79168309493</v>
      </c>
      <c r="AP432" s="65">
        <f t="shared" si="584"/>
        <v>54484.26389436498</v>
      </c>
      <c r="AQ432" s="65">
        <f t="shared" si="585"/>
        <v>0</v>
      </c>
      <c r="AR432" s="65">
        <f t="shared" si="585"/>
        <v>15847.151021610611</v>
      </c>
      <c r="AS432" s="65">
        <f t="shared" si="585"/>
        <v>0</v>
      </c>
      <c r="AT432" s="65">
        <f t="shared" si="585"/>
        <v>27242.13194718249</v>
      </c>
      <c r="AU432" s="65">
        <f t="shared" si="585"/>
        <v>5448.4263894364976</v>
      </c>
      <c r="AV432" s="65">
        <f t="shared" si="585"/>
        <v>33291.579211488301</v>
      </c>
      <c r="AW432" s="65">
        <f t="shared" si="585"/>
        <v>21856.931240616719</v>
      </c>
      <c r="AX432" s="65">
        <f t="shared" si="585"/>
        <v>12925.447215030585</v>
      </c>
      <c r="AY432" s="65">
        <f t="shared" si="585"/>
        <v>0</v>
      </c>
      <c r="AZ432" s="65">
        <f t="shared" si="585"/>
        <v>7518.8284174223663</v>
      </c>
      <c r="BB432" s="64"/>
      <c r="BC432" s="66"/>
      <c r="BD432" s="66"/>
      <c r="BE432" s="66"/>
    </row>
    <row r="433" spans="1:177" s="96" customFormat="1" ht="21" customHeight="1" x14ac:dyDescent="0.2">
      <c r="A433" s="50"/>
      <c r="B433" s="468" t="s">
        <v>65</v>
      </c>
      <c r="C433" s="469"/>
      <c r="D433" s="469"/>
      <c r="E433" s="469"/>
      <c r="F433" s="470"/>
      <c r="G433" s="139"/>
      <c r="H433" s="244"/>
      <c r="I433" s="91">
        <f>SUM(I429:I432)</f>
        <v>43065.198522066436</v>
      </c>
      <c r="J433" s="91">
        <f t="shared" ref="J433:AG433" si="586">SUM(J429:J432)</f>
        <v>0</v>
      </c>
      <c r="K433" s="91">
        <f t="shared" si="586"/>
        <v>0</v>
      </c>
      <c r="L433" s="140">
        <f t="shared" si="586"/>
        <v>0</v>
      </c>
      <c r="M433" s="91">
        <f t="shared" si="586"/>
        <v>1.6000000000000001E-3</v>
      </c>
      <c r="N433" s="91">
        <f t="shared" si="586"/>
        <v>1722.6079408826574</v>
      </c>
      <c r="O433" s="91">
        <f t="shared" si="586"/>
        <v>44787.806462949091</v>
      </c>
      <c r="P433" s="91">
        <f t="shared" si="586"/>
        <v>89575.612925898182</v>
      </c>
      <c r="Q433" s="91">
        <f t="shared" si="586"/>
        <v>67181.70969442364</v>
      </c>
      <c r="R433" s="91">
        <f t="shared" si="586"/>
        <v>22393.903231474545</v>
      </c>
      <c r="S433" s="91">
        <f t="shared" si="586"/>
        <v>2985.8537641966059</v>
      </c>
      <c r="T433" s="91">
        <f t="shared" si="586"/>
        <v>3427.4615359212839</v>
      </c>
      <c r="U433" s="141">
        <f t="shared" si="586"/>
        <v>33590.85484721182</v>
      </c>
      <c r="V433" s="91">
        <f t="shared" si="586"/>
        <v>11196.951615737273</v>
      </c>
      <c r="W433" s="91">
        <f t="shared" si="586"/>
        <v>0</v>
      </c>
      <c r="X433" s="91">
        <f t="shared" si="586"/>
        <v>0</v>
      </c>
      <c r="Y433" s="91">
        <f t="shared" si="586"/>
        <v>8053.6358008603302</v>
      </c>
      <c r="Z433" s="91">
        <f t="shared" si="586"/>
        <v>0</v>
      </c>
      <c r="AA433" s="91">
        <f t="shared" si="586"/>
        <v>11196.951615737273</v>
      </c>
      <c r="AB433" s="91">
        <f t="shared" si="586"/>
        <v>2239.3903231474546</v>
      </c>
      <c r="AC433" s="91">
        <f t="shared" si="586"/>
        <v>13172.156645870964</v>
      </c>
      <c r="AD433" s="91">
        <f t="shared" si="586"/>
        <v>8983.5480587264792</v>
      </c>
      <c r="AE433" s="91">
        <f t="shared" si="586"/>
        <v>5312.5653806779901</v>
      </c>
      <c r="AF433" s="91">
        <f t="shared" si="586"/>
        <v>0</v>
      </c>
      <c r="AG433" s="91">
        <f t="shared" si="586"/>
        <v>3090.3586459434873</v>
      </c>
      <c r="AH433" s="92"/>
      <c r="AI433" s="92"/>
      <c r="AJ433" s="468" t="s">
        <v>65</v>
      </c>
      <c r="AK433" s="469"/>
      <c r="AL433" s="469"/>
      <c r="AM433" s="469"/>
      <c r="AN433" s="470"/>
      <c r="AO433" s="144">
        <f>SUM(AO429:AO432)</f>
        <v>806180.51633308374</v>
      </c>
      <c r="AP433" s="144">
        <f t="shared" ref="AP433:AZ433" si="587">SUM(AP429:AP432)</f>
        <v>268726.83877769456</v>
      </c>
      <c r="AQ433" s="144">
        <f t="shared" si="587"/>
        <v>0</v>
      </c>
      <c r="AR433" s="144">
        <f t="shared" si="587"/>
        <v>96643.629610323973</v>
      </c>
      <c r="AS433" s="144">
        <f t="shared" si="587"/>
        <v>0</v>
      </c>
      <c r="AT433" s="144">
        <f t="shared" si="587"/>
        <v>134363.41938884728</v>
      </c>
      <c r="AU433" s="144">
        <f t="shared" si="587"/>
        <v>26872.683877769457</v>
      </c>
      <c r="AV433" s="144">
        <f t="shared" si="587"/>
        <v>158065.87975045157</v>
      </c>
      <c r="AW433" s="144">
        <f t="shared" si="587"/>
        <v>107802.57670471777</v>
      </c>
      <c r="AX433" s="144">
        <f t="shared" si="587"/>
        <v>63750.784568135874</v>
      </c>
      <c r="AY433" s="144">
        <f t="shared" si="587"/>
        <v>0</v>
      </c>
      <c r="AZ433" s="144">
        <f t="shared" si="587"/>
        <v>37084.303751321844</v>
      </c>
      <c r="BA433" s="94"/>
      <c r="BB433" s="92"/>
      <c r="BC433" s="95"/>
      <c r="BD433" s="95"/>
      <c r="BE433" s="95"/>
      <c r="BF433" s="50"/>
      <c r="BG433" s="50"/>
      <c r="BH433" s="50"/>
      <c r="BI433" s="50"/>
      <c r="BJ433" s="50"/>
      <c r="BK433" s="50"/>
      <c r="BL433" s="50"/>
      <c r="BM433" s="50"/>
      <c r="BN433" s="50"/>
      <c r="BO433" s="50"/>
      <c r="BP433" s="50"/>
      <c r="BQ433" s="50"/>
      <c r="BR433" s="50"/>
      <c r="BS433" s="50"/>
      <c r="BT433" s="50"/>
      <c r="BU433" s="50"/>
      <c r="BV433" s="50"/>
      <c r="BW433" s="50"/>
      <c r="BX433" s="50"/>
      <c r="BY433" s="50"/>
      <c r="BZ433" s="50"/>
      <c r="CA433" s="50"/>
      <c r="CB433" s="50"/>
      <c r="CC433" s="50"/>
      <c r="CD433" s="50"/>
      <c r="CE433" s="50"/>
      <c r="CF433" s="50"/>
      <c r="CG433" s="50"/>
      <c r="CH433" s="50"/>
      <c r="CI433" s="50"/>
      <c r="CJ433" s="50"/>
      <c r="CK433" s="50"/>
      <c r="CL433" s="50"/>
      <c r="CM433" s="50"/>
      <c r="CN433" s="50"/>
      <c r="CO433" s="50"/>
      <c r="CP433" s="50"/>
      <c r="CQ433" s="50"/>
      <c r="CR433" s="50"/>
      <c r="CS433" s="50"/>
      <c r="CT433" s="50"/>
      <c r="CU433" s="50"/>
      <c r="CV433" s="50"/>
      <c r="CW433" s="50"/>
      <c r="CX433" s="50"/>
      <c r="CY433" s="50"/>
      <c r="CZ433" s="50"/>
      <c r="DA433" s="50"/>
      <c r="DB433" s="50"/>
      <c r="DC433" s="50"/>
      <c r="DD433" s="50"/>
      <c r="DE433" s="50"/>
      <c r="DF433" s="50"/>
      <c r="DG433" s="50"/>
      <c r="DH433" s="50"/>
      <c r="DI433" s="50"/>
      <c r="DJ433" s="50"/>
      <c r="DK433" s="50"/>
      <c r="DL433" s="50"/>
      <c r="DM433" s="50"/>
      <c r="DN433" s="50"/>
      <c r="DO433" s="50"/>
      <c r="DP433" s="50"/>
      <c r="DQ433" s="50"/>
      <c r="DR433" s="50"/>
      <c r="DS433" s="50"/>
      <c r="DT433" s="50"/>
      <c r="DU433" s="50"/>
      <c r="DV433" s="50"/>
      <c r="DW433" s="50"/>
      <c r="DX433" s="50"/>
      <c r="DY433" s="50"/>
      <c r="DZ433" s="50"/>
      <c r="EA433" s="50"/>
      <c r="EB433" s="50"/>
      <c r="EC433" s="50"/>
      <c r="ED433" s="50"/>
      <c r="EE433" s="50"/>
      <c r="EF433" s="50"/>
      <c r="EG433" s="50"/>
      <c r="EH433" s="50"/>
      <c r="EI433" s="50"/>
      <c r="EJ433" s="50"/>
      <c r="EK433" s="50"/>
      <c r="EL433" s="50"/>
      <c r="EM433" s="50"/>
      <c r="EN433" s="50"/>
      <c r="EO433" s="50"/>
      <c r="EP433" s="50"/>
      <c r="EQ433" s="50"/>
      <c r="ER433" s="50"/>
      <c r="ES433" s="50"/>
      <c r="ET433" s="50"/>
      <c r="EU433" s="50"/>
      <c r="EV433" s="50"/>
      <c r="EW433" s="50"/>
      <c r="EX433" s="50"/>
      <c r="EY433" s="50"/>
      <c r="EZ433" s="50"/>
      <c r="FA433" s="50"/>
      <c r="FB433" s="50"/>
      <c r="FC433" s="50"/>
      <c r="FD433" s="50"/>
      <c r="FE433" s="50"/>
      <c r="FF433" s="50"/>
      <c r="FG433" s="50"/>
      <c r="FH433" s="50"/>
      <c r="FI433" s="50"/>
      <c r="FJ433" s="50"/>
      <c r="FK433" s="50"/>
      <c r="FL433" s="50"/>
      <c r="FM433" s="50"/>
      <c r="FN433" s="50"/>
      <c r="FO433" s="50"/>
      <c r="FP433" s="50"/>
      <c r="FQ433" s="50"/>
      <c r="FR433" s="50"/>
      <c r="FS433" s="50"/>
      <c r="FT433" s="50"/>
      <c r="FU433" s="50"/>
    </row>
    <row r="434" spans="1:177" ht="21" customHeight="1" x14ac:dyDescent="0.2">
      <c r="B434" s="67">
        <v>5</v>
      </c>
      <c r="C434" s="73" t="s">
        <v>66</v>
      </c>
      <c r="D434" s="67">
        <v>13129</v>
      </c>
      <c r="E434" s="192" t="s">
        <v>595</v>
      </c>
      <c r="F434" s="72" t="s">
        <v>596</v>
      </c>
      <c r="G434" s="123">
        <v>35916</v>
      </c>
      <c r="H434" s="56" t="str">
        <f t="shared" ref="H434:H497" si="588" xml:space="preserve"> CONCATENATE(DATEDIF(G434,H$5,"Y")," AÑOS")</f>
        <v>26 AÑOS</v>
      </c>
      <c r="I434" s="57">
        <v>3252.2476392367321</v>
      </c>
      <c r="J434" s="58"/>
      <c r="K434" s="58"/>
      <c r="L434" s="59"/>
      <c r="M434" s="60">
        <v>5.1999999999999995E-4</v>
      </c>
      <c r="N434" s="61">
        <f>I434*0.052</f>
        <v>169.11687724031006</v>
      </c>
      <c r="O434" s="58">
        <f t="shared" ref="O434:O497" si="589">I434+N434</f>
        <v>3421.3645164770423</v>
      </c>
      <c r="P434" s="61">
        <f t="shared" ref="P434:P492" si="590">O434*2</f>
        <v>6842.7290329540847</v>
      </c>
      <c r="Q434" s="61">
        <f t="shared" ref="Q434:Q492" si="591">P434*0.75</f>
        <v>5132.0467747155635</v>
      </c>
      <c r="R434" s="61">
        <f t="shared" ref="R434:R492" si="592">P434*0.25</f>
        <v>1710.6822582385212</v>
      </c>
      <c r="S434" s="61">
        <f t="shared" ref="S434:S492" si="593">(P434/30)</f>
        <v>228.09096776513616</v>
      </c>
      <c r="T434" s="58">
        <f t="shared" ref="T434:T497" si="594">S434*1.1479</f>
        <v>261.82562189759977</v>
      </c>
      <c r="U434" s="61">
        <f t="shared" ref="U434:U492" si="595">O434*0.75</f>
        <v>2566.0233873577818</v>
      </c>
      <c r="V434" s="58">
        <f t="shared" ref="V434:V492" si="596">O434*0.25</f>
        <v>855.34112911926059</v>
      </c>
      <c r="W434" s="101">
        <v>7.4999999999999997E-2</v>
      </c>
      <c r="X434" s="63">
        <f t="shared" ref="X434:X497" si="597">P434*W434</f>
        <v>513.20467747155635</v>
      </c>
      <c r="Y434" s="61">
        <v>0</v>
      </c>
      <c r="Z434" s="61">
        <v>25.27</v>
      </c>
      <c r="AA434" s="61">
        <f t="shared" ref="AA434:AA497" si="598">(S434*45)/12</f>
        <v>855.34112911926059</v>
      </c>
      <c r="AB434" s="61">
        <f t="shared" ref="AB434:AB497" si="599">(S434*10)*(0.45*2)/12</f>
        <v>171.06822582385212</v>
      </c>
      <c r="AC434" s="61">
        <v>1420.53</v>
      </c>
      <c r="AD434" s="61">
        <v>626.21</v>
      </c>
      <c r="AE434" s="61">
        <v>405.84</v>
      </c>
      <c r="AF434" s="61">
        <v>0</v>
      </c>
      <c r="AG434" s="61">
        <f t="shared" ref="AG434:AG497" si="600">(P434+AA434+AB434)*0.03</f>
        <v>236.0741516369159</v>
      </c>
      <c r="AH434" s="64"/>
      <c r="AI434" s="64"/>
      <c r="AJ434" s="67">
        <v>5</v>
      </c>
      <c r="AK434" s="73" t="s">
        <v>66</v>
      </c>
      <c r="AL434" s="67">
        <v>13129</v>
      </c>
      <c r="AM434" s="192" t="s">
        <v>595</v>
      </c>
      <c r="AN434" s="72" t="s">
        <v>596</v>
      </c>
      <c r="AO434" s="138">
        <f>Q434*10</f>
        <v>51320.467747155635</v>
      </c>
      <c r="AP434" s="65">
        <f>R434*10</f>
        <v>17106.822582385212</v>
      </c>
      <c r="AQ434" s="65">
        <f t="shared" ref="AQ434:AZ434" si="601">X434*10</f>
        <v>5132.0467747155635</v>
      </c>
      <c r="AR434" s="65">
        <f t="shared" si="601"/>
        <v>0</v>
      </c>
      <c r="AS434" s="65">
        <f t="shared" si="601"/>
        <v>252.7</v>
      </c>
      <c r="AT434" s="65">
        <f t="shared" si="601"/>
        <v>8553.4112911926059</v>
      </c>
      <c r="AU434" s="65">
        <f t="shared" si="601"/>
        <v>1710.6822582385212</v>
      </c>
      <c r="AV434" s="65">
        <f t="shared" si="601"/>
        <v>14205.3</v>
      </c>
      <c r="AW434" s="65">
        <f t="shared" si="601"/>
        <v>6262.1</v>
      </c>
      <c r="AX434" s="65">
        <f t="shared" si="601"/>
        <v>4058.3999999999996</v>
      </c>
      <c r="AY434" s="65">
        <f t="shared" si="601"/>
        <v>0</v>
      </c>
      <c r="AZ434" s="65">
        <f t="shared" si="601"/>
        <v>2360.7415163691589</v>
      </c>
      <c r="BB434" s="64"/>
      <c r="BC434" s="66"/>
      <c r="BD434" s="66"/>
      <c r="BE434" s="66"/>
    </row>
    <row r="435" spans="1:177" s="364" customFormat="1" ht="21" customHeight="1" x14ac:dyDescent="0.2">
      <c r="B435" s="365">
        <v>6</v>
      </c>
      <c r="C435" s="372" t="s">
        <v>66</v>
      </c>
      <c r="D435" s="365">
        <v>16308</v>
      </c>
      <c r="E435" s="423" t="s">
        <v>597</v>
      </c>
      <c r="F435" s="421" t="s">
        <v>598</v>
      </c>
      <c r="G435" s="55">
        <v>40346</v>
      </c>
      <c r="H435" s="56" t="str">
        <f t="shared" si="588"/>
        <v>14 AÑOS</v>
      </c>
      <c r="I435" s="57">
        <v>5823.6214078377061</v>
      </c>
      <c r="J435" s="58"/>
      <c r="K435" s="58"/>
      <c r="L435" s="59"/>
      <c r="M435" s="60">
        <v>4.0000000000000002E-4</v>
      </c>
      <c r="N435" s="61">
        <f>I435*0.04</f>
        <v>232.94485631350824</v>
      </c>
      <c r="O435" s="58">
        <f t="shared" si="589"/>
        <v>6056.5662641512145</v>
      </c>
      <c r="P435" s="61">
        <f t="shared" si="590"/>
        <v>12113.132528302429</v>
      </c>
      <c r="Q435" s="61">
        <f t="shared" si="591"/>
        <v>9084.8493962268221</v>
      </c>
      <c r="R435" s="61">
        <f t="shared" si="592"/>
        <v>3028.2831320756072</v>
      </c>
      <c r="S435" s="61">
        <f t="shared" si="593"/>
        <v>403.77108427674762</v>
      </c>
      <c r="T435" s="58">
        <f t="shared" si="594"/>
        <v>463.48882764127853</v>
      </c>
      <c r="U435" s="61">
        <f t="shared" si="595"/>
        <v>4542.4246981134111</v>
      </c>
      <c r="V435" s="58">
        <f t="shared" si="596"/>
        <v>1514.1415660378036</v>
      </c>
      <c r="W435" s="101">
        <v>0.05</v>
      </c>
      <c r="X435" s="63">
        <f t="shared" si="597"/>
        <v>605.65662641512142</v>
      </c>
      <c r="Y435" s="61">
        <v>675.47087830947817</v>
      </c>
      <c r="Z435" s="61">
        <v>0</v>
      </c>
      <c r="AA435" s="61">
        <f t="shared" si="598"/>
        <v>1514.1415660378036</v>
      </c>
      <c r="AB435" s="61">
        <f t="shared" si="599"/>
        <v>302.82831320756071</v>
      </c>
      <c r="AC435" s="61">
        <v>2033.0086951968422</v>
      </c>
      <c r="AD435" s="61">
        <v>1214.8273916891733</v>
      </c>
      <c r="AE435" s="61">
        <v>718.40768284398177</v>
      </c>
      <c r="AF435" s="61">
        <v>0</v>
      </c>
      <c r="AG435" s="61">
        <f t="shared" si="600"/>
        <v>417.90307222643384</v>
      </c>
      <c r="AH435" s="64"/>
      <c r="AI435" s="64"/>
      <c r="AJ435" s="365">
        <v>6</v>
      </c>
      <c r="AK435" s="372" t="s">
        <v>66</v>
      </c>
      <c r="AL435" s="365">
        <v>16308</v>
      </c>
      <c r="AM435" s="423" t="s">
        <v>597</v>
      </c>
      <c r="AN435" s="421" t="s">
        <v>598</v>
      </c>
      <c r="AO435" s="368">
        <f t="shared" ref="AO435:AP435" si="602">Q435*3</f>
        <v>27254.548188680466</v>
      </c>
      <c r="AP435" s="368">
        <f t="shared" si="602"/>
        <v>9084.8493962268221</v>
      </c>
      <c r="AQ435" s="368">
        <f t="shared" ref="AQ435:AZ435" si="603">X435*3</f>
        <v>1816.9698792453642</v>
      </c>
      <c r="AR435" s="368">
        <f t="shared" si="603"/>
        <v>2026.4126349284345</v>
      </c>
      <c r="AS435" s="368">
        <f t="shared" si="603"/>
        <v>0</v>
      </c>
      <c r="AT435" s="368">
        <f t="shared" si="603"/>
        <v>4542.4246981134111</v>
      </c>
      <c r="AU435" s="368">
        <f t="shared" si="603"/>
        <v>908.48493962268208</v>
      </c>
      <c r="AV435" s="368">
        <f t="shared" si="603"/>
        <v>6099.0260855905262</v>
      </c>
      <c r="AW435" s="368">
        <f t="shared" si="603"/>
        <v>3644.4821750675201</v>
      </c>
      <c r="AX435" s="368">
        <f t="shared" si="603"/>
        <v>2155.2230485319451</v>
      </c>
      <c r="AY435" s="368">
        <f t="shared" si="603"/>
        <v>0</v>
      </c>
      <c r="AZ435" s="368">
        <f t="shared" si="603"/>
        <v>1253.7092166793016</v>
      </c>
      <c r="BB435" s="64"/>
    </row>
    <row r="436" spans="1:177" ht="21" customHeight="1" x14ac:dyDescent="0.2">
      <c r="B436" s="67">
        <v>7</v>
      </c>
      <c r="C436" s="73" t="s">
        <v>66</v>
      </c>
      <c r="D436" s="67">
        <v>16502</v>
      </c>
      <c r="E436" s="73" t="s">
        <v>599</v>
      </c>
      <c r="F436" s="72" t="s">
        <v>598</v>
      </c>
      <c r="G436" s="246">
        <v>43497</v>
      </c>
      <c r="H436" s="56" t="str">
        <f t="shared" si="588"/>
        <v>5 AÑOS</v>
      </c>
      <c r="I436" s="58">
        <v>5823.6214078377061</v>
      </c>
      <c r="J436" s="58"/>
      <c r="K436" s="58"/>
      <c r="L436" s="59"/>
      <c r="M436" s="60">
        <v>4.0000000000000002E-4</v>
      </c>
      <c r="N436" s="61">
        <f>I436*0.04</f>
        <v>232.94485631350824</v>
      </c>
      <c r="O436" s="58">
        <f t="shared" si="589"/>
        <v>6056.5662641512145</v>
      </c>
      <c r="P436" s="61">
        <f t="shared" si="590"/>
        <v>12113.132528302429</v>
      </c>
      <c r="Q436" s="61">
        <f t="shared" si="591"/>
        <v>9084.8493962268221</v>
      </c>
      <c r="R436" s="61">
        <f t="shared" si="592"/>
        <v>3028.2831320756072</v>
      </c>
      <c r="S436" s="61">
        <f t="shared" si="593"/>
        <v>403.77108427674762</v>
      </c>
      <c r="T436" s="58">
        <f t="shared" si="594"/>
        <v>463.48882764127853</v>
      </c>
      <c r="U436" s="61">
        <f t="shared" si="595"/>
        <v>4542.4246981134111</v>
      </c>
      <c r="V436" s="58">
        <f t="shared" si="596"/>
        <v>1514.1415660378036</v>
      </c>
      <c r="W436" s="101">
        <v>2.5000000000000001E-2</v>
      </c>
      <c r="X436" s="63">
        <f t="shared" si="597"/>
        <v>302.82831320756071</v>
      </c>
      <c r="Y436" s="61">
        <v>675.47087830947817</v>
      </c>
      <c r="Z436" s="61">
        <v>0</v>
      </c>
      <c r="AA436" s="61">
        <f t="shared" si="598"/>
        <v>1514.1415660378036</v>
      </c>
      <c r="AB436" s="61">
        <f t="shared" si="599"/>
        <v>302.82831320756071</v>
      </c>
      <c r="AC436" s="61">
        <v>2033.0086951968422</v>
      </c>
      <c r="AD436" s="61">
        <v>1214.8273916891733</v>
      </c>
      <c r="AE436" s="61">
        <v>718.40768284398177</v>
      </c>
      <c r="AF436" s="61">
        <v>0</v>
      </c>
      <c r="AG436" s="61">
        <f t="shared" si="600"/>
        <v>417.90307222643384</v>
      </c>
      <c r="AH436" s="64"/>
      <c r="AI436" s="64"/>
      <c r="AJ436" s="67">
        <v>7</v>
      </c>
      <c r="AK436" s="73" t="s">
        <v>66</v>
      </c>
      <c r="AL436" s="67">
        <v>16502</v>
      </c>
      <c r="AM436" s="73" t="s">
        <v>599</v>
      </c>
      <c r="AN436" s="72" t="s">
        <v>598</v>
      </c>
      <c r="AO436" s="138">
        <f t="shared" ref="AO436:AP439" si="604">Q436*12</f>
        <v>109018.19275472187</v>
      </c>
      <c r="AP436" s="65">
        <f t="shared" si="604"/>
        <v>36339.397584907289</v>
      </c>
      <c r="AQ436" s="65">
        <f t="shared" ref="AQ436:AZ439" si="605">X436*12</f>
        <v>3633.9397584907283</v>
      </c>
      <c r="AR436" s="65">
        <f t="shared" si="605"/>
        <v>8105.650539713738</v>
      </c>
      <c r="AS436" s="65">
        <f t="shared" si="605"/>
        <v>0</v>
      </c>
      <c r="AT436" s="65">
        <f t="shared" si="605"/>
        <v>18169.698792453644</v>
      </c>
      <c r="AU436" s="65">
        <f t="shared" si="605"/>
        <v>3633.9397584907283</v>
      </c>
      <c r="AV436" s="65">
        <f t="shared" si="605"/>
        <v>24396.104342362105</v>
      </c>
      <c r="AW436" s="65">
        <f t="shared" si="605"/>
        <v>14577.92870027008</v>
      </c>
      <c r="AX436" s="65">
        <f t="shared" si="605"/>
        <v>8620.8921941277804</v>
      </c>
      <c r="AY436" s="65">
        <f t="shared" si="605"/>
        <v>0</v>
      </c>
      <c r="AZ436" s="65">
        <f t="shared" si="605"/>
        <v>5014.8368667172062</v>
      </c>
      <c r="BB436" s="64"/>
      <c r="BC436" s="66"/>
      <c r="BD436" s="66"/>
      <c r="BE436" s="66"/>
    </row>
    <row r="437" spans="1:177" s="80" customFormat="1" ht="21" customHeight="1" x14ac:dyDescent="0.2">
      <c r="A437" s="50"/>
      <c r="B437" s="67">
        <v>8</v>
      </c>
      <c r="C437" s="73" t="s">
        <v>66</v>
      </c>
      <c r="D437" s="67">
        <v>13387</v>
      </c>
      <c r="E437" s="73" t="s">
        <v>600</v>
      </c>
      <c r="F437" s="72" t="s">
        <v>601</v>
      </c>
      <c r="G437" s="123">
        <v>45108</v>
      </c>
      <c r="H437" s="55" t="str">
        <f t="shared" si="588"/>
        <v>1 AÑOS</v>
      </c>
      <c r="I437" s="57">
        <v>4056.5609811054183</v>
      </c>
      <c r="J437" s="57"/>
      <c r="K437" s="57"/>
      <c r="L437" s="74"/>
      <c r="M437" s="171">
        <v>4.0000000000000002E-4</v>
      </c>
      <c r="N437" s="81">
        <f>I437*0.04</f>
        <v>162.26243924421672</v>
      </c>
      <c r="O437" s="57">
        <f t="shared" si="589"/>
        <v>4218.8234203496349</v>
      </c>
      <c r="P437" s="81">
        <f t="shared" si="590"/>
        <v>8437.6468406992699</v>
      </c>
      <c r="Q437" s="81">
        <f t="shared" si="591"/>
        <v>6328.235130524452</v>
      </c>
      <c r="R437" s="81">
        <f t="shared" si="592"/>
        <v>2109.4117101748175</v>
      </c>
      <c r="S437" s="81">
        <f t="shared" si="593"/>
        <v>281.25489468997569</v>
      </c>
      <c r="T437" s="57">
        <f t="shared" si="594"/>
        <v>322.85249361462309</v>
      </c>
      <c r="U437" s="81">
        <f t="shared" si="595"/>
        <v>3164.117565262226</v>
      </c>
      <c r="V437" s="57">
        <f t="shared" si="596"/>
        <v>1054.7058550874087</v>
      </c>
      <c r="W437" s="101">
        <v>0</v>
      </c>
      <c r="X437" s="158">
        <f t="shared" si="597"/>
        <v>0</v>
      </c>
      <c r="Y437" s="81">
        <v>125.35124620106035</v>
      </c>
      <c r="Z437" s="81">
        <v>0</v>
      </c>
      <c r="AA437" s="81">
        <f t="shared" si="598"/>
        <v>1054.7058550874087</v>
      </c>
      <c r="AB437" s="81">
        <f t="shared" si="599"/>
        <v>210.94117101748176</v>
      </c>
      <c r="AC437" s="81">
        <v>1587.6155924093518</v>
      </c>
      <c r="AD437" s="81">
        <v>789.164492766904</v>
      </c>
      <c r="AE437" s="81">
        <v>500.42136510266585</v>
      </c>
      <c r="AF437" s="81">
        <v>0</v>
      </c>
      <c r="AG437" s="81">
        <f t="shared" si="600"/>
        <v>291.09881600412473</v>
      </c>
      <c r="AH437" s="64"/>
      <c r="AI437" s="64"/>
      <c r="AJ437" s="67">
        <v>8</v>
      </c>
      <c r="AK437" s="73" t="s">
        <v>66</v>
      </c>
      <c r="AL437" s="67">
        <v>13387</v>
      </c>
      <c r="AM437" s="73" t="s">
        <v>600</v>
      </c>
      <c r="AN437" s="72" t="s">
        <v>601</v>
      </c>
      <c r="AO437" s="138">
        <f t="shared" si="604"/>
        <v>75938.821566293424</v>
      </c>
      <c r="AP437" s="65">
        <f t="shared" si="604"/>
        <v>25312.940522097808</v>
      </c>
      <c r="AQ437" s="65">
        <f t="shared" si="605"/>
        <v>0</v>
      </c>
      <c r="AR437" s="65">
        <f t="shared" si="605"/>
        <v>1504.2149544127242</v>
      </c>
      <c r="AS437" s="65">
        <f t="shared" si="605"/>
        <v>0</v>
      </c>
      <c r="AT437" s="65">
        <f t="shared" si="605"/>
        <v>12656.470261048904</v>
      </c>
      <c r="AU437" s="65">
        <f t="shared" si="605"/>
        <v>2531.2940522097811</v>
      </c>
      <c r="AV437" s="65">
        <f t="shared" si="605"/>
        <v>19051.387108912222</v>
      </c>
      <c r="AW437" s="65">
        <f t="shared" si="605"/>
        <v>9469.9739132028481</v>
      </c>
      <c r="AX437" s="65">
        <f t="shared" si="605"/>
        <v>6005.0563812319906</v>
      </c>
      <c r="AY437" s="65">
        <f t="shared" si="605"/>
        <v>0</v>
      </c>
      <c r="AZ437" s="65">
        <f t="shared" si="605"/>
        <v>3493.1857920494967</v>
      </c>
      <c r="BA437" s="50"/>
      <c r="BB437" s="64"/>
      <c r="BC437" s="66"/>
      <c r="BD437" s="66"/>
      <c r="BE437" s="66"/>
      <c r="BF437" s="50"/>
      <c r="BG437" s="50"/>
      <c r="BH437" s="50"/>
      <c r="BI437" s="50"/>
      <c r="BJ437" s="50"/>
      <c r="BK437" s="50"/>
      <c r="BL437" s="50"/>
      <c r="BM437" s="50"/>
      <c r="BN437" s="50"/>
      <c r="BO437" s="50"/>
      <c r="BP437" s="50"/>
      <c r="BQ437" s="50"/>
      <c r="BR437" s="50"/>
      <c r="BS437" s="50"/>
      <c r="BT437" s="50"/>
      <c r="BU437" s="50"/>
      <c r="BV437" s="50"/>
      <c r="BW437" s="50"/>
      <c r="BX437" s="50"/>
      <c r="BY437" s="50"/>
      <c r="BZ437" s="50"/>
      <c r="CA437" s="50"/>
      <c r="CB437" s="50"/>
      <c r="CC437" s="50"/>
      <c r="CD437" s="50"/>
      <c r="CE437" s="50"/>
      <c r="CF437" s="50"/>
      <c r="CG437" s="50"/>
      <c r="CH437" s="50"/>
      <c r="CI437" s="50"/>
      <c r="CJ437" s="50"/>
      <c r="CK437" s="50"/>
      <c r="CL437" s="50"/>
      <c r="CM437" s="50"/>
      <c r="CN437" s="50"/>
      <c r="CO437" s="50"/>
      <c r="CP437" s="50"/>
      <c r="CQ437" s="50"/>
      <c r="CR437" s="50"/>
      <c r="CS437" s="50"/>
      <c r="CT437" s="50"/>
      <c r="CU437" s="50"/>
      <c r="CV437" s="50"/>
      <c r="CW437" s="50"/>
      <c r="CX437" s="50"/>
      <c r="CY437" s="50"/>
      <c r="CZ437" s="50"/>
      <c r="DA437" s="50"/>
      <c r="DB437" s="50"/>
      <c r="DC437" s="50"/>
      <c r="DD437" s="50"/>
      <c r="DE437" s="50"/>
      <c r="DF437" s="50"/>
      <c r="DG437" s="50"/>
      <c r="DH437" s="50"/>
      <c r="DI437" s="50"/>
      <c r="DJ437" s="50"/>
      <c r="DK437" s="50"/>
      <c r="DL437" s="50"/>
      <c r="DM437" s="50"/>
      <c r="DN437" s="50"/>
      <c r="DO437" s="50"/>
      <c r="DP437" s="50"/>
      <c r="DQ437" s="50"/>
      <c r="DR437" s="50"/>
      <c r="DS437" s="50"/>
      <c r="DT437" s="50"/>
      <c r="DU437" s="50"/>
      <c r="DV437" s="50"/>
      <c r="DW437" s="50"/>
      <c r="DX437" s="50"/>
      <c r="DY437" s="50"/>
      <c r="DZ437" s="50"/>
      <c r="EA437" s="50"/>
      <c r="EB437" s="50"/>
      <c r="EC437" s="50"/>
      <c r="ED437" s="50"/>
      <c r="EE437" s="50"/>
      <c r="EF437" s="50"/>
      <c r="EG437" s="50"/>
      <c r="EH437" s="50"/>
      <c r="EI437" s="50"/>
      <c r="EJ437" s="50"/>
      <c r="EK437" s="50"/>
      <c r="EL437" s="50"/>
      <c r="EM437" s="50"/>
      <c r="EN437" s="50"/>
      <c r="EO437" s="50"/>
      <c r="EP437" s="50"/>
      <c r="EQ437" s="50"/>
      <c r="ER437" s="50"/>
      <c r="ES437" s="50"/>
      <c r="ET437" s="50"/>
      <c r="EU437" s="50"/>
      <c r="EV437" s="50"/>
      <c r="EW437" s="50"/>
      <c r="EX437" s="50"/>
      <c r="EY437" s="50"/>
      <c r="EZ437" s="50"/>
      <c r="FA437" s="50"/>
      <c r="FB437" s="50"/>
      <c r="FC437" s="50"/>
      <c r="FD437" s="50"/>
      <c r="FE437" s="50"/>
      <c r="FF437" s="50"/>
      <c r="FG437" s="50"/>
      <c r="FH437" s="50"/>
      <c r="FI437" s="50"/>
      <c r="FJ437" s="50"/>
      <c r="FK437" s="50"/>
      <c r="FL437" s="50"/>
      <c r="FM437" s="50"/>
      <c r="FN437" s="50"/>
      <c r="FO437" s="50"/>
      <c r="FP437" s="50"/>
      <c r="FQ437" s="50"/>
      <c r="FR437" s="50"/>
      <c r="FS437" s="50"/>
      <c r="FT437" s="50"/>
      <c r="FU437" s="50"/>
    </row>
    <row r="438" spans="1:177" ht="21" customHeight="1" x14ac:dyDescent="0.2">
      <c r="B438" s="67">
        <v>9</v>
      </c>
      <c r="C438" s="73" t="s">
        <v>66</v>
      </c>
      <c r="D438" s="67">
        <v>9132</v>
      </c>
      <c r="E438" s="72" t="s">
        <v>602</v>
      </c>
      <c r="F438" s="72" t="s">
        <v>137</v>
      </c>
      <c r="G438" s="123">
        <v>44593</v>
      </c>
      <c r="H438" s="56" t="str">
        <f t="shared" si="588"/>
        <v>2 AÑOS</v>
      </c>
      <c r="I438" s="57">
        <v>5260.9591911861007</v>
      </c>
      <c r="J438" s="58"/>
      <c r="K438" s="58"/>
      <c r="L438" s="59"/>
      <c r="M438" s="60">
        <v>4.0000000000000002E-4</v>
      </c>
      <c r="N438" s="61">
        <f>I438*0.04</f>
        <v>210.43836764744404</v>
      </c>
      <c r="O438" s="58">
        <f t="shared" si="589"/>
        <v>5471.3975588335452</v>
      </c>
      <c r="P438" s="61">
        <f t="shared" si="590"/>
        <v>10942.79511766709</v>
      </c>
      <c r="Q438" s="61">
        <f t="shared" si="591"/>
        <v>8207.0963382503178</v>
      </c>
      <c r="R438" s="61">
        <f t="shared" si="592"/>
        <v>2735.6987794167726</v>
      </c>
      <c r="S438" s="61">
        <f t="shared" si="593"/>
        <v>364.75983725556966</v>
      </c>
      <c r="T438" s="58">
        <f t="shared" si="594"/>
        <v>418.70781718566838</v>
      </c>
      <c r="U438" s="61">
        <f t="shared" si="595"/>
        <v>4103.5481691251589</v>
      </c>
      <c r="V438" s="58">
        <f t="shared" si="596"/>
        <v>1367.8493897083863</v>
      </c>
      <c r="W438" s="101">
        <v>0</v>
      </c>
      <c r="X438" s="63">
        <f t="shared" si="597"/>
        <v>0</v>
      </c>
      <c r="Y438" s="61">
        <v>579.97134560163454</v>
      </c>
      <c r="Z438" s="61">
        <v>0</v>
      </c>
      <c r="AA438" s="61">
        <f t="shared" si="598"/>
        <v>1367.8493897083863</v>
      </c>
      <c r="AB438" s="61">
        <f t="shared" si="599"/>
        <v>273.56987794167725</v>
      </c>
      <c r="AC438" s="61">
        <v>1889.5699554570174</v>
      </c>
      <c r="AD438" s="61">
        <v>1097.454124234496</v>
      </c>
      <c r="AE438" s="61">
        <v>648.99711663778601</v>
      </c>
      <c r="AF438" s="61">
        <v>0</v>
      </c>
      <c r="AG438" s="61">
        <f t="shared" si="600"/>
        <v>377.52643155951461</v>
      </c>
      <c r="AH438" s="64"/>
      <c r="AI438" s="64"/>
      <c r="AJ438" s="67">
        <v>9</v>
      </c>
      <c r="AK438" s="73" t="s">
        <v>66</v>
      </c>
      <c r="AL438" s="67">
        <v>9132</v>
      </c>
      <c r="AM438" s="72" t="s">
        <v>602</v>
      </c>
      <c r="AN438" s="72" t="s">
        <v>137</v>
      </c>
      <c r="AO438" s="138">
        <f t="shared" si="604"/>
        <v>98485.156059003813</v>
      </c>
      <c r="AP438" s="65">
        <f t="shared" si="604"/>
        <v>32828.385353001271</v>
      </c>
      <c r="AQ438" s="65">
        <f t="shared" si="605"/>
        <v>0</v>
      </c>
      <c r="AR438" s="65">
        <f t="shared" si="605"/>
        <v>6959.6561472196145</v>
      </c>
      <c r="AS438" s="65">
        <f t="shared" si="605"/>
        <v>0</v>
      </c>
      <c r="AT438" s="65">
        <f t="shared" si="605"/>
        <v>16414.192676500636</v>
      </c>
      <c r="AU438" s="65">
        <f t="shared" si="605"/>
        <v>3282.8385353001268</v>
      </c>
      <c r="AV438" s="65">
        <f t="shared" si="605"/>
        <v>22674.839465484209</v>
      </c>
      <c r="AW438" s="65">
        <f t="shared" si="605"/>
        <v>13169.449490813953</v>
      </c>
      <c r="AX438" s="65">
        <f t="shared" si="605"/>
        <v>7787.9653996534325</v>
      </c>
      <c r="AY438" s="65">
        <f t="shared" si="605"/>
        <v>0</v>
      </c>
      <c r="AZ438" s="65">
        <f t="shared" si="605"/>
        <v>4530.3171787141755</v>
      </c>
      <c r="BB438" s="64"/>
      <c r="BC438" s="66"/>
      <c r="BD438" s="66"/>
      <c r="BE438" s="66"/>
    </row>
    <row r="439" spans="1:177" ht="21" customHeight="1" x14ac:dyDescent="0.2">
      <c r="B439" s="67">
        <v>10</v>
      </c>
      <c r="C439" s="73" t="s">
        <v>66</v>
      </c>
      <c r="D439" s="67">
        <v>13355</v>
      </c>
      <c r="E439" s="73" t="s">
        <v>603</v>
      </c>
      <c r="F439" s="72" t="s">
        <v>604</v>
      </c>
      <c r="G439" s="123">
        <v>43846</v>
      </c>
      <c r="H439" s="56" t="str">
        <f t="shared" si="588"/>
        <v>4 AÑOS</v>
      </c>
      <c r="I439" s="57">
        <v>3532.5804700132076</v>
      </c>
      <c r="J439" s="58"/>
      <c r="K439" s="58"/>
      <c r="L439" s="59"/>
      <c r="M439" s="60">
        <v>4.0000000000000002E-4</v>
      </c>
      <c r="N439" s="61">
        <f>I439*0.04</f>
        <v>141.3032188005283</v>
      </c>
      <c r="O439" s="58">
        <f t="shared" si="589"/>
        <v>3673.8836888137357</v>
      </c>
      <c r="P439" s="61">
        <f t="shared" si="590"/>
        <v>7347.7673776274714</v>
      </c>
      <c r="Q439" s="61">
        <f t="shared" si="591"/>
        <v>5510.8255332206036</v>
      </c>
      <c r="R439" s="61">
        <f t="shared" si="592"/>
        <v>1836.9418444068679</v>
      </c>
      <c r="S439" s="61">
        <f t="shared" si="593"/>
        <v>244.92557925424904</v>
      </c>
      <c r="T439" s="58">
        <f t="shared" si="594"/>
        <v>281.15007242595243</v>
      </c>
      <c r="U439" s="61">
        <f t="shared" si="595"/>
        <v>2755.4127666103018</v>
      </c>
      <c r="V439" s="58">
        <f t="shared" si="596"/>
        <v>918.47092220343393</v>
      </c>
      <c r="W439" s="101">
        <v>0</v>
      </c>
      <c r="X439" s="63">
        <f t="shared" si="597"/>
        <v>0</v>
      </c>
      <c r="Y439" s="61">
        <v>28.974754126118626</v>
      </c>
      <c r="Z439" s="61">
        <v>0</v>
      </c>
      <c r="AA439" s="61">
        <f t="shared" si="598"/>
        <v>918.47092220343393</v>
      </c>
      <c r="AB439" s="61">
        <f t="shared" si="599"/>
        <v>183.69418444068677</v>
      </c>
      <c r="AC439" s="61">
        <v>1473.4295549056083</v>
      </c>
      <c r="AD439" s="61">
        <v>672.41257071752909</v>
      </c>
      <c r="AE439" s="61">
        <v>435.78261226022624</v>
      </c>
      <c r="AF439" s="61">
        <v>0</v>
      </c>
      <c r="AG439" s="61">
        <f t="shared" si="600"/>
        <v>253.49797452814775</v>
      </c>
      <c r="AH439" s="64"/>
      <c r="AI439" s="64"/>
      <c r="AJ439" s="67">
        <v>10</v>
      </c>
      <c r="AK439" s="73" t="s">
        <v>66</v>
      </c>
      <c r="AL439" s="67">
        <v>13355</v>
      </c>
      <c r="AM439" s="73" t="s">
        <v>603</v>
      </c>
      <c r="AN439" s="72" t="s">
        <v>604</v>
      </c>
      <c r="AO439" s="138">
        <f t="shared" si="604"/>
        <v>66129.906398647247</v>
      </c>
      <c r="AP439" s="65">
        <f t="shared" si="604"/>
        <v>22043.302132882414</v>
      </c>
      <c r="AQ439" s="65">
        <f t="shared" si="605"/>
        <v>0</v>
      </c>
      <c r="AR439" s="65">
        <f t="shared" si="605"/>
        <v>347.69704951342351</v>
      </c>
      <c r="AS439" s="65">
        <f t="shared" si="605"/>
        <v>0</v>
      </c>
      <c r="AT439" s="65">
        <f t="shared" si="605"/>
        <v>11021.651066441207</v>
      </c>
      <c r="AU439" s="65">
        <f t="shared" si="605"/>
        <v>2204.3302132882413</v>
      </c>
      <c r="AV439" s="65">
        <f t="shared" si="605"/>
        <v>17681.154658867301</v>
      </c>
      <c r="AW439" s="65">
        <f t="shared" si="605"/>
        <v>8068.9508486103496</v>
      </c>
      <c r="AX439" s="65">
        <f t="shared" si="605"/>
        <v>5229.3913471227152</v>
      </c>
      <c r="AY439" s="65">
        <f t="shared" si="605"/>
        <v>0</v>
      </c>
      <c r="AZ439" s="65">
        <f t="shared" si="605"/>
        <v>3041.9756943377729</v>
      </c>
      <c r="BB439" s="64"/>
      <c r="BC439" s="66"/>
      <c r="BD439" s="66"/>
      <c r="BE439" s="66"/>
    </row>
    <row r="440" spans="1:177" ht="21" customHeight="1" x14ac:dyDescent="0.2">
      <c r="B440" s="67">
        <v>11</v>
      </c>
      <c r="C440" s="73" t="s">
        <v>66</v>
      </c>
      <c r="D440" s="67">
        <v>13375</v>
      </c>
      <c r="E440" s="73" t="s">
        <v>605</v>
      </c>
      <c r="F440" s="72" t="s">
        <v>606</v>
      </c>
      <c r="G440" s="123">
        <v>44256</v>
      </c>
      <c r="H440" s="56" t="str">
        <f t="shared" si="588"/>
        <v>3 AÑOS</v>
      </c>
      <c r="I440" s="57">
        <v>3170.3326204132072</v>
      </c>
      <c r="J440" s="58"/>
      <c r="K440" s="58"/>
      <c r="L440" s="59"/>
      <c r="M440" s="60">
        <v>7.7999999999999999E-4</v>
      </c>
      <c r="N440" s="61">
        <f>I440*0.078</f>
        <v>247.28594439223016</v>
      </c>
      <c r="O440" s="58">
        <f t="shared" si="589"/>
        <v>3417.6185648054375</v>
      </c>
      <c r="P440" s="61">
        <f t="shared" si="590"/>
        <v>6835.2371296108749</v>
      </c>
      <c r="Q440" s="61">
        <f t="shared" si="591"/>
        <v>5126.427847208156</v>
      </c>
      <c r="R440" s="61">
        <f t="shared" si="592"/>
        <v>1708.8092824027187</v>
      </c>
      <c r="S440" s="61">
        <f t="shared" si="593"/>
        <v>227.84123765369583</v>
      </c>
      <c r="T440" s="58">
        <f t="shared" si="594"/>
        <v>261.53895670267741</v>
      </c>
      <c r="U440" s="61">
        <f t="shared" si="595"/>
        <v>2563.213923604078</v>
      </c>
      <c r="V440" s="58">
        <f t="shared" si="596"/>
        <v>854.40464120135937</v>
      </c>
      <c r="W440" s="101">
        <v>0</v>
      </c>
      <c r="X440" s="63">
        <f t="shared" si="597"/>
        <v>0</v>
      </c>
      <c r="Y440" s="61">
        <v>0</v>
      </c>
      <c r="Z440" s="61">
        <v>25.27</v>
      </c>
      <c r="AA440" s="61">
        <f t="shared" si="598"/>
        <v>854.40464120135937</v>
      </c>
      <c r="AB440" s="61">
        <f t="shared" si="599"/>
        <v>170.88092824027186</v>
      </c>
      <c r="AC440" s="61">
        <v>1420.53</v>
      </c>
      <c r="AD440" s="61">
        <v>626.21</v>
      </c>
      <c r="AE440" s="61">
        <v>405.84</v>
      </c>
      <c r="AF440" s="61">
        <v>0</v>
      </c>
      <c r="AG440" s="61">
        <f t="shared" si="600"/>
        <v>235.81568097157518</v>
      </c>
      <c r="AH440" s="64"/>
      <c r="AI440" s="64"/>
      <c r="AJ440" s="67">
        <v>11</v>
      </c>
      <c r="AK440" s="73" t="s">
        <v>66</v>
      </c>
      <c r="AL440" s="67">
        <v>13375</v>
      </c>
      <c r="AM440" s="73" t="s">
        <v>605</v>
      </c>
      <c r="AN440" s="72" t="s">
        <v>606</v>
      </c>
      <c r="AO440" s="138">
        <f>Q440*10</f>
        <v>51264.278472081562</v>
      </c>
      <c r="AP440" s="65">
        <f>R440*10</f>
        <v>17088.092824027186</v>
      </c>
      <c r="AQ440" s="65">
        <f t="shared" ref="AQ440:AZ440" si="606">X440*10</f>
        <v>0</v>
      </c>
      <c r="AR440" s="65">
        <f t="shared" si="606"/>
        <v>0</v>
      </c>
      <c r="AS440" s="65">
        <f t="shared" si="606"/>
        <v>252.7</v>
      </c>
      <c r="AT440" s="65">
        <f t="shared" si="606"/>
        <v>8544.046412013593</v>
      </c>
      <c r="AU440" s="65">
        <f t="shared" si="606"/>
        <v>1708.8092824027185</v>
      </c>
      <c r="AV440" s="65">
        <f t="shared" si="606"/>
        <v>14205.3</v>
      </c>
      <c r="AW440" s="65">
        <f t="shared" si="606"/>
        <v>6262.1</v>
      </c>
      <c r="AX440" s="65">
        <f t="shared" si="606"/>
        <v>4058.3999999999996</v>
      </c>
      <c r="AY440" s="65">
        <f t="shared" si="606"/>
        <v>0</v>
      </c>
      <c r="AZ440" s="65">
        <f t="shared" si="606"/>
        <v>2358.1568097157519</v>
      </c>
      <c r="BB440" s="64"/>
      <c r="BC440" s="66"/>
      <c r="BD440" s="66"/>
      <c r="BE440" s="66"/>
    </row>
    <row r="441" spans="1:177" ht="21" customHeight="1" x14ac:dyDescent="0.2">
      <c r="B441" s="67">
        <v>12</v>
      </c>
      <c r="C441" s="73" t="s">
        <v>66</v>
      </c>
      <c r="D441" s="67">
        <v>13371</v>
      </c>
      <c r="E441" s="73" t="s">
        <v>607</v>
      </c>
      <c r="F441" s="112" t="s">
        <v>608</v>
      </c>
      <c r="G441" s="123">
        <v>44212</v>
      </c>
      <c r="H441" s="56" t="str">
        <f t="shared" si="588"/>
        <v>3 AÑOS</v>
      </c>
      <c r="I441" s="57">
        <v>4250.9478601206474</v>
      </c>
      <c r="J441" s="58"/>
      <c r="K441" s="58"/>
      <c r="L441" s="59"/>
      <c r="M441" s="60">
        <v>4.0000000000000002E-4</v>
      </c>
      <c r="N441" s="61">
        <f>I441*0.04</f>
        <v>170.0379144048259</v>
      </c>
      <c r="O441" s="58">
        <f t="shared" si="589"/>
        <v>4420.9857745254731</v>
      </c>
      <c r="P441" s="61">
        <f t="shared" si="590"/>
        <v>8841.9715490509461</v>
      </c>
      <c r="Q441" s="61">
        <f t="shared" si="591"/>
        <v>6631.4786617882091</v>
      </c>
      <c r="R441" s="61">
        <f t="shared" si="592"/>
        <v>2210.4928872627365</v>
      </c>
      <c r="S441" s="61">
        <f t="shared" si="593"/>
        <v>294.7323849683649</v>
      </c>
      <c r="T441" s="58">
        <f t="shared" si="594"/>
        <v>338.32330470518605</v>
      </c>
      <c r="U441" s="61">
        <f t="shared" si="595"/>
        <v>3315.7393308941046</v>
      </c>
      <c r="V441" s="58">
        <f t="shared" si="596"/>
        <v>1105.2464436313683</v>
      </c>
      <c r="W441" s="101">
        <v>0</v>
      </c>
      <c r="X441" s="63">
        <f t="shared" si="597"/>
        <v>0</v>
      </c>
      <c r="Y441" s="61">
        <v>158.34414240255711</v>
      </c>
      <c r="Z441" s="61">
        <v>0</v>
      </c>
      <c r="AA441" s="61">
        <f t="shared" si="598"/>
        <v>1105.2464436313683</v>
      </c>
      <c r="AB441" s="61">
        <f t="shared" si="599"/>
        <v>221.04928872627366</v>
      </c>
      <c r="AC441" s="61">
        <v>1632.0890936477435</v>
      </c>
      <c r="AD441" s="61">
        <v>826.98056985612163</v>
      </c>
      <c r="AE441" s="61">
        <v>524.40112229303838</v>
      </c>
      <c r="AF441" s="61">
        <v>0</v>
      </c>
      <c r="AG441" s="61">
        <f t="shared" si="600"/>
        <v>305.04801844225761</v>
      </c>
      <c r="AH441" s="64"/>
      <c r="AI441" s="64"/>
      <c r="AJ441" s="67">
        <v>12</v>
      </c>
      <c r="AK441" s="73" t="s">
        <v>66</v>
      </c>
      <c r="AL441" s="67">
        <v>13371</v>
      </c>
      <c r="AM441" s="73" t="s">
        <v>607</v>
      </c>
      <c r="AN441" s="112" t="s">
        <v>608</v>
      </c>
      <c r="AO441" s="138">
        <f>Q441*12</f>
        <v>79577.74394145851</v>
      </c>
      <c r="AP441" s="65">
        <f>R441*12</f>
        <v>26525.914647152837</v>
      </c>
      <c r="AQ441" s="65">
        <f t="shared" ref="AQ441:AZ441" si="607">X441*12</f>
        <v>0</v>
      </c>
      <c r="AR441" s="65">
        <f t="shared" si="607"/>
        <v>1900.1297088306853</v>
      </c>
      <c r="AS441" s="65">
        <f t="shared" si="607"/>
        <v>0</v>
      </c>
      <c r="AT441" s="65">
        <f t="shared" si="607"/>
        <v>13262.957323576418</v>
      </c>
      <c r="AU441" s="65">
        <f t="shared" si="607"/>
        <v>2652.591464715284</v>
      </c>
      <c r="AV441" s="65">
        <f t="shared" si="607"/>
        <v>19585.069123772922</v>
      </c>
      <c r="AW441" s="65">
        <f t="shared" si="607"/>
        <v>9923.7668382734591</v>
      </c>
      <c r="AX441" s="65">
        <f t="shared" si="607"/>
        <v>6292.8134675164602</v>
      </c>
      <c r="AY441" s="65">
        <f t="shared" si="607"/>
        <v>0</v>
      </c>
      <c r="AZ441" s="65">
        <f t="shared" si="607"/>
        <v>3660.5762213070911</v>
      </c>
      <c r="BB441" s="64"/>
      <c r="BC441" s="66"/>
      <c r="BD441" s="66"/>
      <c r="BE441" s="66"/>
    </row>
    <row r="442" spans="1:177" ht="21" customHeight="1" x14ac:dyDescent="0.2">
      <c r="B442" s="67">
        <v>13</v>
      </c>
      <c r="C442" s="73" t="s">
        <v>66</v>
      </c>
      <c r="D442" s="67">
        <v>13372</v>
      </c>
      <c r="E442" s="73" t="s">
        <v>609</v>
      </c>
      <c r="F442" s="72" t="s">
        <v>610</v>
      </c>
      <c r="G442" s="123">
        <v>44256</v>
      </c>
      <c r="H442" s="56" t="str">
        <f t="shared" si="588"/>
        <v>3 AÑOS</v>
      </c>
      <c r="I442" s="57">
        <v>3170.3326204132072</v>
      </c>
      <c r="J442" s="58"/>
      <c r="K442" s="58"/>
      <c r="L442" s="59"/>
      <c r="M442" s="60">
        <v>7.7999999999999999E-4</v>
      </c>
      <c r="N442" s="61">
        <f>I442*0.078</f>
        <v>247.28594439223016</v>
      </c>
      <c r="O442" s="58">
        <f t="shared" si="589"/>
        <v>3417.6185648054375</v>
      </c>
      <c r="P442" s="61">
        <f t="shared" si="590"/>
        <v>6835.2371296108749</v>
      </c>
      <c r="Q442" s="61">
        <f t="shared" si="591"/>
        <v>5126.427847208156</v>
      </c>
      <c r="R442" s="61">
        <f t="shared" si="592"/>
        <v>1708.8092824027187</v>
      </c>
      <c r="S442" s="61">
        <f t="shared" si="593"/>
        <v>227.84123765369583</v>
      </c>
      <c r="T442" s="58">
        <f t="shared" si="594"/>
        <v>261.53895670267741</v>
      </c>
      <c r="U442" s="61">
        <f t="shared" si="595"/>
        <v>2563.213923604078</v>
      </c>
      <c r="V442" s="58">
        <f t="shared" si="596"/>
        <v>854.40464120135937</v>
      </c>
      <c r="W442" s="101">
        <v>0</v>
      </c>
      <c r="X442" s="63">
        <f t="shared" si="597"/>
        <v>0</v>
      </c>
      <c r="Y442" s="61">
        <v>0</v>
      </c>
      <c r="Z442" s="61">
        <v>25.27</v>
      </c>
      <c r="AA442" s="61">
        <f t="shared" si="598"/>
        <v>854.40464120135937</v>
      </c>
      <c r="AB442" s="61">
        <f t="shared" si="599"/>
        <v>170.88092824027186</v>
      </c>
      <c r="AC442" s="61">
        <v>1420.53</v>
      </c>
      <c r="AD442" s="61">
        <v>626.21</v>
      </c>
      <c r="AE442" s="61">
        <v>405.84</v>
      </c>
      <c r="AF442" s="61">
        <v>0</v>
      </c>
      <c r="AG442" s="61">
        <f t="shared" si="600"/>
        <v>235.81568097157518</v>
      </c>
      <c r="AH442" s="64"/>
      <c r="AI442" s="64"/>
      <c r="AJ442" s="67">
        <v>13</v>
      </c>
      <c r="AK442" s="73" t="s">
        <v>66</v>
      </c>
      <c r="AL442" s="67">
        <v>13372</v>
      </c>
      <c r="AM442" s="73" t="s">
        <v>609</v>
      </c>
      <c r="AN442" s="72" t="s">
        <v>610</v>
      </c>
      <c r="AO442" s="138">
        <f>Q442*10</f>
        <v>51264.278472081562</v>
      </c>
      <c r="AP442" s="65">
        <f>R442*10</f>
        <v>17088.092824027186</v>
      </c>
      <c r="AQ442" s="65">
        <f t="shared" ref="AQ442:AZ442" si="608">X442*10</f>
        <v>0</v>
      </c>
      <c r="AR442" s="65">
        <f t="shared" si="608"/>
        <v>0</v>
      </c>
      <c r="AS442" s="65">
        <f t="shared" si="608"/>
        <v>252.7</v>
      </c>
      <c r="AT442" s="65">
        <f t="shared" si="608"/>
        <v>8544.046412013593</v>
      </c>
      <c r="AU442" s="65">
        <f t="shared" si="608"/>
        <v>1708.8092824027185</v>
      </c>
      <c r="AV442" s="65">
        <f t="shared" si="608"/>
        <v>14205.3</v>
      </c>
      <c r="AW442" s="65">
        <f t="shared" si="608"/>
        <v>6262.1</v>
      </c>
      <c r="AX442" s="65">
        <f t="shared" si="608"/>
        <v>4058.3999999999996</v>
      </c>
      <c r="AY442" s="65">
        <f t="shared" si="608"/>
        <v>0</v>
      </c>
      <c r="AZ442" s="65">
        <f t="shared" si="608"/>
        <v>2358.1568097157519</v>
      </c>
      <c r="BB442" s="64"/>
      <c r="BC442" s="66"/>
      <c r="BD442" s="66"/>
      <c r="BE442" s="66"/>
    </row>
    <row r="443" spans="1:177" ht="21" customHeight="1" x14ac:dyDescent="0.2">
      <c r="B443" s="67">
        <v>14</v>
      </c>
      <c r="C443" s="73" t="s">
        <v>66</v>
      </c>
      <c r="D443" s="67">
        <v>13195</v>
      </c>
      <c r="E443" s="72" t="s">
        <v>611</v>
      </c>
      <c r="F443" s="72" t="s">
        <v>612</v>
      </c>
      <c r="G443" s="123">
        <v>38838</v>
      </c>
      <c r="H443" s="56" t="str">
        <f t="shared" si="588"/>
        <v>18 AÑOS</v>
      </c>
      <c r="I443" s="57">
        <v>3517.8507004132075</v>
      </c>
      <c r="J443" s="58"/>
      <c r="K443" s="58"/>
      <c r="L443" s="59"/>
      <c r="M443" s="60">
        <v>4.0000000000000002E-4</v>
      </c>
      <c r="N443" s="61">
        <f t="shared" ref="N443:N475" si="609">I443*0.04</f>
        <v>140.71402801652832</v>
      </c>
      <c r="O443" s="58">
        <f t="shared" si="589"/>
        <v>3658.5647284297356</v>
      </c>
      <c r="P443" s="61">
        <f t="shared" si="590"/>
        <v>7317.1294568594712</v>
      </c>
      <c r="Q443" s="61">
        <f t="shared" si="591"/>
        <v>5487.8470926446034</v>
      </c>
      <c r="R443" s="61">
        <f t="shared" si="592"/>
        <v>1829.2823642148678</v>
      </c>
      <c r="S443" s="61">
        <f t="shared" si="593"/>
        <v>243.90431522864904</v>
      </c>
      <c r="T443" s="58">
        <f t="shared" si="594"/>
        <v>279.97776345096622</v>
      </c>
      <c r="U443" s="61">
        <f t="shared" si="595"/>
        <v>2743.9235463223017</v>
      </c>
      <c r="V443" s="58">
        <f t="shared" si="596"/>
        <v>914.64118210743391</v>
      </c>
      <c r="W443" s="101">
        <v>7.4999999999999997E-2</v>
      </c>
      <c r="X443" s="63">
        <f t="shared" si="597"/>
        <v>548.78470926446028</v>
      </c>
      <c r="Y443" s="61">
        <v>27.504133929254635</v>
      </c>
      <c r="Z443" s="61">
        <v>0</v>
      </c>
      <c r="AA443" s="61">
        <f t="shared" si="598"/>
        <v>914.64118210743391</v>
      </c>
      <c r="AB443" s="61">
        <f t="shared" si="599"/>
        <v>182.92823642148679</v>
      </c>
      <c r="AC443" s="61">
        <v>1470.2196377648711</v>
      </c>
      <c r="AD443" s="61">
        <v>669.60881795750333</v>
      </c>
      <c r="AE443" s="61">
        <v>433.96553334899767</v>
      </c>
      <c r="AF443" s="61">
        <v>0</v>
      </c>
      <c r="AG443" s="61">
        <f t="shared" si="600"/>
        <v>252.44096626165177</v>
      </c>
      <c r="AH443" s="64"/>
      <c r="AI443" s="64"/>
      <c r="AJ443" s="67">
        <v>14</v>
      </c>
      <c r="AK443" s="73" t="s">
        <v>66</v>
      </c>
      <c r="AL443" s="67">
        <v>13195</v>
      </c>
      <c r="AM443" s="72" t="s">
        <v>611</v>
      </c>
      <c r="AN443" s="72" t="s">
        <v>612</v>
      </c>
      <c r="AO443" s="138">
        <f t="shared" ref="AO443:AO451" si="610">Q443*12</f>
        <v>65854.165111735245</v>
      </c>
      <c r="AP443" s="65">
        <f t="shared" ref="AP443:AP451" si="611">R443*12</f>
        <v>21951.388370578414</v>
      </c>
      <c r="AQ443" s="65">
        <f t="shared" ref="AQ443:AQ451" si="612">X443*12</f>
        <v>6585.4165111735238</v>
      </c>
      <c r="AR443" s="65">
        <f t="shared" ref="AR443:AR451" si="613">Y443*12</f>
        <v>330.04960715105562</v>
      </c>
      <c r="AS443" s="65">
        <f t="shared" ref="AS443:AS451" si="614">Z443*12</f>
        <v>0</v>
      </c>
      <c r="AT443" s="65">
        <f t="shared" ref="AT443:AT451" si="615">AA443*12</f>
        <v>10975.694185289207</v>
      </c>
      <c r="AU443" s="65">
        <f t="shared" ref="AU443:AU451" si="616">AB443*12</f>
        <v>2195.1388370578416</v>
      </c>
      <c r="AV443" s="65">
        <f t="shared" ref="AV443:AV451" si="617">AC443*12</f>
        <v>17642.635653178455</v>
      </c>
      <c r="AW443" s="65">
        <f t="shared" ref="AW443:AW451" si="618">AD443*12</f>
        <v>8035.30581549004</v>
      </c>
      <c r="AX443" s="65">
        <f t="shared" ref="AX443:AX451" si="619">AE443*12</f>
        <v>5207.5864001879718</v>
      </c>
      <c r="AY443" s="65">
        <f t="shared" ref="AY443:AY451" si="620">AF443*12</f>
        <v>0</v>
      </c>
      <c r="AZ443" s="65">
        <f t="shared" ref="AZ443:AZ451" si="621">AG443*12</f>
        <v>3029.2915951398213</v>
      </c>
      <c r="BB443" s="64"/>
      <c r="BC443" s="66"/>
      <c r="BD443" s="66"/>
      <c r="BE443" s="66"/>
    </row>
    <row r="444" spans="1:177" ht="21" customHeight="1" x14ac:dyDescent="0.2">
      <c r="B444" s="67">
        <v>15</v>
      </c>
      <c r="C444" s="73" t="s">
        <v>66</v>
      </c>
      <c r="D444" s="67">
        <v>13040</v>
      </c>
      <c r="E444" s="72" t="s">
        <v>613</v>
      </c>
      <c r="F444" s="72" t="s">
        <v>614</v>
      </c>
      <c r="G444" s="123">
        <v>34624</v>
      </c>
      <c r="H444" s="56" t="str">
        <f t="shared" si="588"/>
        <v>30 AÑOS</v>
      </c>
      <c r="I444" s="57">
        <v>3512.1723004132073</v>
      </c>
      <c r="J444" s="58"/>
      <c r="K444" s="58"/>
      <c r="L444" s="59"/>
      <c r="M444" s="60">
        <v>4.0000000000000002E-4</v>
      </c>
      <c r="N444" s="61">
        <f t="shared" si="609"/>
        <v>140.48689201652829</v>
      </c>
      <c r="O444" s="58">
        <f t="shared" si="589"/>
        <v>3652.6591924297354</v>
      </c>
      <c r="P444" s="61">
        <f t="shared" si="590"/>
        <v>7305.3183848594708</v>
      </c>
      <c r="Q444" s="61">
        <f t="shared" si="591"/>
        <v>5478.9887886446031</v>
      </c>
      <c r="R444" s="61">
        <f t="shared" si="592"/>
        <v>1826.3295962148677</v>
      </c>
      <c r="S444" s="61">
        <f t="shared" si="593"/>
        <v>243.51061282864902</v>
      </c>
      <c r="T444" s="58">
        <f t="shared" si="594"/>
        <v>279.52583246600619</v>
      </c>
      <c r="U444" s="61">
        <f t="shared" si="595"/>
        <v>2739.4943943223016</v>
      </c>
      <c r="V444" s="58">
        <f t="shared" si="596"/>
        <v>913.16479810743385</v>
      </c>
      <c r="W444" s="101">
        <v>7.4999999999999997E-2</v>
      </c>
      <c r="X444" s="63">
        <f t="shared" si="597"/>
        <v>547.89887886446024</v>
      </c>
      <c r="Y444" s="61">
        <v>26.937202473254615</v>
      </c>
      <c r="Z444" s="61">
        <v>0</v>
      </c>
      <c r="AA444" s="61">
        <f t="shared" si="598"/>
        <v>913.16479810743385</v>
      </c>
      <c r="AB444" s="61">
        <f t="shared" si="599"/>
        <v>182.63295962148678</v>
      </c>
      <c r="AC444" s="61">
        <v>1468.9821986204081</v>
      </c>
      <c r="AD444" s="61">
        <v>668.52795721732366</v>
      </c>
      <c r="AE444" s="61">
        <v>433.26504032230963</v>
      </c>
      <c r="AF444" s="61">
        <v>0</v>
      </c>
      <c r="AG444" s="61">
        <f t="shared" si="600"/>
        <v>252.03348427765178</v>
      </c>
      <c r="AH444" s="64"/>
      <c r="AI444" s="64"/>
      <c r="AJ444" s="67">
        <v>15</v>
      </c>
      <c r="AK444" s="73" t="s">
        <v>66</v>
      </c>
      <c r="AL444" s="67">
        <v>13040</v>
      </c>
      <c r="AM444" s="72" t="s">
        <v>613</v>
      </c>
      <c r="AN444" s="72" t="s">
        <v>614</v>
      </c>
      <c r="AO444" s="138">
        <f t="shared" si="610"/>
        <v>65747.865463735245</v>
      </c>
      <c r="AP444" s="65">
        <f t="shared" si="611"/>
        <v>21915.955154578412</v>
      </c>
      <c r="AQ444" s="65">
        <f t="shared" si="612"/>
        <v>6574.7865463735234</v>
      </c>
      <c r="AR444" s="65">
        <f t="shared" si="613"/>
        <v>323.24642967905538</v>
      </c>
      <c r="AS444" s="65">
        <f t="shared" si="614"/>
        <v>0</v>
      </c>
      <c r="AT444" s="65">
        <f t="shared" si="615"/>
        <v>10957.977577289206</v>
      </c>
      <c r="AU444" s="65">
        <f t="shared" si="616"/>
        <v>2191.5955154578414</v>
      </c>
      <c r="AV444" s="65">
        <f t="shared" si="617"/>
        <v>17627.786383444898</v>
      </c>
      <c r="AW444" s="65">
        <f t="shared" si="618"/>
        <v>8022.3354866078844</v>
      </c>
      <c r="AX444" s="65">
        <f t="shared" si="619"/>
        <v>5199.1804838677153</v>
      </c>
      <c r="AY444" s="65">
        <f t="shared" si="620"/>
        <v>0</v>
      </c>
      <c r="AZ444" s="65">
        <f t="shared" si="621"/>
        <v>3024.4018113318216</v>
      </c>
      <c r="BB444" s="64"/>
      <c r="BC444" s="66"/>
      <c r="BD444" s="66"/>
      <c r="BE444" s="66"/>
    </row>
    <row r="445" spans="1:177" ht="21" customHeight="1" x14ac:dyDescent="0.2">
      <c r="B445" s="67">
        <v>16</v>
      </c>
      <c r="C445" s="73" t="s">
        <v>66</v>
      </c>
      <c r="D445" s="67">
        <v>13138</v>
      </c>
      <c r="E445" s="72" t="s">
        <v>615</v>
      </c>
      <c r="F445" s="72" t="s">
        <v>614</v>
      </c>
      <c r="G445" s="123">
        <v>36983</v>
      </c>
      <c r="H445" s="56" t="str">
        <f t="shared" si="588"/>
        <v>23 AÑOS</v>
      </c>
      <c r="I445" s="57">
        <v>3512.1723004132073</v>
      </c>
      <c r="J445" s="58"/>
      <c r="K445" s="58"/>
      <c r="L445" s="59"/>
      <c r="M445" s="60">
        <v>4.0000000000000002E-4</v>
      </c>
      <c r="N445" s="61">
        <f t="shared" si="609"/>
        <v>140.48689201652829</v>
      </c>
      <c r="O445" s="58">
        <f t="shared" si="589"/>
        <v>3652.6591924297354</v>
      </c>
      <c r="P445" s="61">
        <f t="shared" si="590"/>
        <v>7305.3183848594708</v>
      </c>
      <c r="Q445" s="61">
        <f t="shared" si="591"/>
        <v>5478.9887886446031</v>
      </c>
      <c r="R445" s="61">
        <f t="shared" si="592"/>
        <v>1826.3295962148677</v>
      </c>
      <c r="S445" s="61">
        <f t="shared" si="593"/>
        <v>243.51061282864902</v>
      </c>
      <c r="T445" s="58">
        <f t="shared" si="594"/>
        <v>279.52583246600619</v>
      </c>
      <c r="U445" s="61">
        <f t="shared" si="595"/>
        <v>2739.4943943223016</v>
      </c>
      <c r="V445" s="58">
        <f t="shared" si="596"/>
        <v>913.16479810743385</v>
      </c>
      <c r="W445" s="101">
        <v>7.4999999999999997E-2</v>
      </c>
      <c r="X445" s="63">
        <f t="shared" si="597"/>
        <v>547.89887886446024</v>
      </c>
      <c r="Y445" s="61">
        <v>26.937202473254615</v>
      </c>
      <c r="Z445" s="61">
        <v>0</v>
      </c>
      <c r="AA445" s="61">
        <f t="shared" si="598"/>
        <v>913.16479810743385</v>
      </c>
      <c r="AB445" s="61">
        <f t="shared" si="599"/>
        <v>182.63295962148678</v>
      </c>
      <c r="AC445" s="61">
        <v>1468.9821986204081</v>
      </c>
      <c r="AD445" s="61">
        <v>668.52795721732366</v>
      </c>
      <c r="AE445" s="61">
        <v>433.26504032230963</v>
      </c>
      <c r="AF445" s="61">
        <v>0</v>
      </c>
      <c r="AG445" s="61">
        <f t="shared" si="600"/>
        <v>252.03348427765178</v>
      </c>
      <c r="AH445" s="64"/>
      <c r="AI445" s="64"/>
      <c r="AJ445" s="67">
        <v>16</v>
      </c>
      <c r="AK445" s="73" t="s">
        <v>66</v>
      </c>
      <c r="AL445" s="67">
        <v>13138</v>
      </c>
      <c r="AM445" s="72" t="s">
        <v>615</v>
      </c>
      <c r="AN445" s="72" t="s">
        <v>614</v>
      </c>
      <c r="AO445" s="138">
        <f t="shared" si="610"/>
        <v>65747.865463735245</v>
      </c>
      <c r="AP445" s="65">
        <f t="shared" si="611"/>
        <v>21915.955154578412</v>
      </c>
      <c r="AQ445" s="65">
        <f t="shared" si="612"/>
        <v>6574.7865463735234</v>
      </c>
      <c r="AR445" s="65">
        <f t="shared" si="613"/>
        <v>323.24642967905538</v>
      </c>
      <c r="AS445" s="65">
        <f t="shared" si="614"/>
        <v>0</v>
      </c>
      <c r="AT445" s="65">
        <f t="shared" si="615"/>
        <v>10957.977577289206</v>
      </c>
      <c r="AU445" s="65">
        <f t="shared" si="616"/>
        <v>2191.5955154578414</v>
      </c>
      <c r="AV445" s="65">
        <f t="shared" si="617"/>
        <v>17627.786383444898</v>
      </c>
      <c r="AW445" s="65">
        <f t="shared" si="618"/>
        <v>8022.3354866078844</v>
      </c>
      <c r="AX445" s="65">
        <f t="shared" si="619"/>
        <v>5199.1804838677153</v>
      </c>
      <c r="AY445" s="65">
        <f t="shared" si="620"/>
        <v>0</v>
      </c>
      <c r="AZ445" s="65">
        <f t="shared" si="621"/>
        <v>3024.4018113318216</v>
      </c>
      <c r="BB445" s="64"/>
      <c r="BC445" s="66"/>
      <c r="BD445" s="66"/>
      <c r="BE445" s="66"/>
    </row>
    <row r="446" spans="1:177" ht="21" customHeight="1" x14ac:dyDescent="0.2">
      <c r="B446" s="67">
        <v>17</v>
      </c>
      <c r="C446" s="73" t="s">
        <v>66</v>
      </c>
      <c r="D446" s="67">
        <v>13187</v>
      </c>
      <c r="E446" s="72" t="s">
        <v>616</v>
      </c>
      <c r="F446" s="72" t="s">
        <v>614</v>
      </c>
      <c r="G446" s="123">
        <v>38627</v>
      </c>
      <c r="H446" s="56" t="str">
        <f t="shared" si="588"/>
        <v>19 AÑOS</v>
      </c>
      <c r="I446" s="57">
        <v>3512.1723004132073</v>
      </c>
      <c r="J446" s="58"/>
      <c r="K446" s="58"/>
      <c r="L446" s="59"/>
      <c r="M446" s="60">
        <v>4.0000000000000002E-4</v>
      </c>
      <c r="N446" s="61">
        <f t="shared" si="609"/>
        <v>140.48689201652829</v>
      </c>
      <c r="O446" s="58">
        <f t="shared" si="589"/>
        <v>3652.6591924297354</v>
      </c>
      <c r="P446" s="61">
        <f t="shared" si="590"/>
        <v>7305.3183848594708</v>
      </c>
      <c r="Q446" s="61">
        <f t="shared" si="591"/>
        <v>5478.9887886446031</v>
      </c>
      <c r="R446" s="61">
        <f t="shared" si="592"/>
        <v>1826.3295962148677</v>
      </c>
      <c r="S446" s="61">
        <f t="shared" si="593"/>
        <v>243.51061282864902</v>
      </c>
      <c r="T446" s="58">
        <f t="shared" si="594"/>
        <v>279.52583246600619</v>
      </c>
      <c r="U446" s="61">
        <f t="shared" si="595"/>
        <v>2739.4943943223016</v>
      </c>
      <c r="V446" s="58">
        <f t="shared" si="596"/>
        <v>913.16479810743385</v>
      </c>
      <c r="W446" s="101">
        <v>7.4999999999999997E-2</v>
      </c>
      <c r="X446" s="63">
        <f t="shared" si="597"/>
        <v>547.89887886446024</v>
      </c>
      <c r="Y446" s="61">
        <v>26.937202473254615</v>
      </c>
      <c r="Z446" s="61">
        <v>0</v>
      </c>
      <c r="AA446" s="61">
        <f t="shared" si="598"/>
        <v>913.16479810743385</v>
      </c>
      <c r="AB446" s="61">
        <f t="shared" si="599"/>
        <v>182.63295962148678</v>
      </c>
      <c r="AC446" s="61">
        <v>1468.9821986204081</v>
      </c>
      <c r="AD446" s="61">
        <v>668.52795721732366</v>
      </c>
      <c r="AE446" s="61">
        <v>433.26504032230963</v>
      </c>
      <c r="AF446" s="61">
        <v>0</v>
      </c>
      <c r="AG446" s="61">
        <f t="shared" si="600"/>
        <v>252.03348427765178</v>
      </c>
      <c r="AH446" s="64"/>
      <c r="AI446" s="64"/>
      <c r="AJ446" s="67">
        <v>17</v>
      </c>
      <c r="AK446" s="73" t="s">
        <v>66</v>
      </c>
      <c r="AL446" s="67">
        <v>13187</v>
      </c>
      <c r="AM446" s="72" t="s">
        <v>616</v>
      </c>
      <c r="AN446" s="72" t="s">
        <v>614</v>
      </c>
      <c r="AO446" s="138">
        <f t="shared" si="610"/>
        <v>65747.865463735245</v>
      </c>
      <c r="AP446" s="65">
        <f t="shared" si="611"/>
        <v>21915.955154578412</v>
      </c>
      <c r="AQ446" s="65">
        <f t="shared" si="612"/>
        <v>6574.7865463735234</v>
      </c>
      <c r="AR446" s="65">
        <f t="shared" si="613"/>
        <v>323.24642967905538</v>
      </c>
      <c r="AS446" s="65">
        <f t="shared" si="614"/>
        <v>0</v>
      </c>
      <c r="AT446" s="65">
        <f t="shared" si="615"/>
        <v>10957.977577289206</v>
      </c>
      <c r="AU446" s="65">
        <f t="shared" si="616"/>
        <v>2191.5955154578414</v>
      </c>
      <c r="AV446" s="65">
        <f t="shared" si="617"/>
        <v>17627.786383444898</v>
      </c>
      <c r="AW446" s="65">
        <f t="shared" si="618"/>
        <v>8022.3354866078844</v>
      </c>
      <c r="AX446" s="65">
        <f t="shared" si="619"/>
        <v>5199.1804838677153</v>
      </c>
      <c r="AY446" s="65">
        <f t="shared" si="620"/>
        <v>0</v>
      </c>
      <c r="AZ446" s="65">
        <f t="shared" si="621"/>
        <v>3024.4018113318216</v>
      </c>
      <c r="BB446" s="64"/>
      <c r="BC446" s="66"/>
      <c r="BD446" s="66"/>
      <c r="BE446" s="66"/>
    </row>
    <row r="447" spans="1:177" ht="21" customHeight="1" x14ac:dyDescent="0.2">
      <c r="B447" s="67">
        <v>18</v>
      </c>
      <c r="C447" s="73" t="s">
        <v>66</v>
      </c>
      <c r="D447" s="67">
        <v>13042</v>
      </c>
      <c r="E447" s="72" t="s">
        <v>617</v>
      </c>
      <c r="F447" s="72" t="s">
        <v>614</v>
      </c>
      <c r="G447" s="123">
        <v>35557</v>
      </c>
      <c r="H447" s="56" t="str">
        <f t="shared" si="588"/>
        <v>27 AÑOS</v>
      </c>
      <c r="I447" s="57">
        <v>3512.1723004132073</v>
      </c>
      <c r="J447" s="58"/>
      <c r="K447" s="58"/>
      <c r="L447" s="59"/>
      <c r="M447" s="60">
        <v>4.0000000000000002E-4</v>
      </c>
      <c r="N447" s="61">
        <f t="shared" si="609"/>
        <v>140.48689201652829</v>
      </c>
      <c r="O447" s="58">
        <f t="shared" si="589"/>
        <v>3652.6591924297354</v>
      </c>
      <c r="P447" s="61">
        <f t="shared" si="590"/>
        <v>7305.3183848594708</v>
      </c>
      <c r="Q447" s="61">
        <f t="shared" si="591"/>
        <v>5478.9887886446031</v>
      </c>
      <c r="R447" s="61">
        <f t="shared" si="592"/>
        <v>1826.3295962148677</v>
      </c>
      <c r="S447" s="61">
        <f t="shared" si="593"/>
        <v>243.51061282864902</v>
      </c>
      <c r="T447" s="58">
        <f t="shared" si="594"/>
        <v>279.52583246600619</v>
      </c>
      <c r="U447" s="61">
        <f t="shared" si="595"/>
        <v>2739.4943943223016</v>
      </c>
      <c r="V447" s="58">
        <f t="shared" si="596"/>
        <v>913.16479810743385</v>
      </c>
      <c r="W447" s="101">
        <v>7.4999999999999997E-2</v>
      </c>
      <c r="X447" s="63">
        <f t="shared" si="597"/>
        <v>547.89887886446024</v>
      </c>
      <c r="Y447" s="61">
        <v>26.937202473254615</v>
      </c>
      <c r="Z447" s="61">
        <v>0</v>
      </c>
      <c r="AA447" s="61">
        <f t="shared" si="598"/>
        <v>913.16479810743385</v>
      </c>
      <c r="AB447" s="61">
        <f t="shared" si="599"/>
        <v>182.63295962148678</v>
      </c>
      <c r="AC447" s="61">
        <v>1468.9821986204081</v>
      </c>
      <c r="AD447" s="61">
        <v>668.52795721732366</v>
      </c>
      <c r="AE447" s="61">
        <v>433.26504032230963</v>
      </c>
      <c r="AF447" s="61">
        <v>0</v>
      </c>
      <c r="AG447" s="61">
        <f t="shared" si="600"/>
        <v>252.03348427765178</v>
      </c>
      <c r="AH447" s="64"/>
      <c r="AI447" s="64"/>
      <c r="AJ447" s="67">
        <v>18</v>
      </c>
      <c r="AK447" s="73" t="s">
        <v>66</v>
      </c>
      <c r="AL447" s="67">
        <v>13042</v>
      </c>
      <c r="AM447" s="72" t="s">
        <v>617</v>
      </c>
      <c r="AN447" s="72" t="s">
        <v>614</v>
      </c>
      <c r="AO447" s="138">
        <f t="shared" si="610"/>
        <v>65747.865463735245</v>
      </c>
      <c r="AP447" s="65">
        <f t="shared" si="611"/>
        <v>21915.955154578412</v>
      </c>
      <c r="AQ447" s="65">
        <f t="shared" si="612"/>
        <v>6574.7865463735234</v>
      </c>
      <c r="AR447" s="65">
        <f t="shared" si="613"/>
        <v>323.24642967905538</v>
      </c>
      <c r="AS447" s="65">
        <f t="shared" si="614"/>
        <v>0</v>
      </c>
      <c r="AT447" s="65">
        <f t="shared" si="615"/>
        <v>10957.977577289206</v>
      </c>
      <c r="AU447" s="65">
        <f t="shared" si="616"/>
        <v>2191.5955154578414</v>
      </c>
      <c r="AV447" s="65">
        <f t="shared" si="617"/>
        <v>17627.786383444898</v>
      </c>
      <c r="AW447" s="65">
        <f t="shared" si="618"/>
        <v>8022.3354866078844</v>
      </c>
      <c r="AX447" s="65">
        <f t="shared" si="619"/>
        <v>5199.1804838677153</v>
      </c>
      <c r="AY447" s="65">
        <f t="shared" si="620"/>
        <v>0</v>
      </c>
      <c r="AZ447" s="65">
        <f t="shared" si="621"/>
        <v>3024.4018113318216</v>
      </c>
      <c r="BB447" s="64"/>
      <c r="BC447" s="66"/>
      <c r="BD447" s="66"/>
      <c r="BE447" s="66"/>
    </row>
    <row r="448" spans="1:177" ht="21" customHeight="1" x14ac:dyDescent="0.2">
      <c r="B448" s="67">
        <v>19</v>
      </c>
      <c r="C448" s="73" t="s">
        <v>66</v>
      </c>
      <c r="D448" s="67">
        <v>13159</v>
      </c>
      <c r="E448" s="72" t="s">
        <v>618</v>
      </c>
      <c r="F448" s="72" t="s">
        <v>614</v>
      </c>
      <c r="G448" s="123">
        <v>37742</v>
      </c>
      <c r="H448" s="56" t="str">
        <f t="shared" si="588"/>
        <v>21 AÑOS</v>
      </c>
      <c r="I448" s="57">
        <v>3512.1723004132073</v>
      </c>
      <c r="J448" s="58"/>
      <c r="K448" s="58"/>
      <c r="L448" s="59"/>
      <c r="M448" s="60">
        <v>4.0000000000000002E-4</v>
      </c>
      <c r="N448" s="61">
        <f t="shared" si="609"/>
        <v>140.48689201652829</v>
      </c>
      <c r="O448" s="58">
        <f t="shared" si="589"/>
        <v>3652.6591924297354</v>
      </c>
      <c r="P448" s="61">
        <f t="shared" si="590"/>
        <v>7305.3183848594708</v>
      </c>
      <c r="Q448" s="61">
        <f t="shared" si="591"/>
        <v>5478.9887886446031</v>
      </c>
      <c r="R448" s="61">
        <f t="shared" si="592"/>
        <v>1826.3295962148677</v>
      </c>
      <c r="S448" s="61">
        <f t="shared" si="593"/>
        <v>243.51061282864902</v>
      </c>
      <c r="T448" s="58">
        <f t="shared" si="594"/>
        <v>279.52583246600619</v>
      </c>
      <c r="U448" s="61">
        <f t="shared" si="595"/>
        <v>2739.4943943223016</v>
      </c>
      <c r="V448" s="58">
        <f t="shared" si="596"/>
        <v>913.16479810743385</v>
      </c>
      <c r="W448" s="101">
        <v>7.4999999999999997E-2</v>
      </c>
      <c r="X448" s="63">
        <f t="shared" si="597"/>
        <v>547.89887886446024</v>
      </c>
      <c r="Y448" s="61">
        <v>26.937202473254615</v>
      </c>
      <c r="Z448" s="61">
        <v>0</v>
      </c>
      <c r="AA448" s="61">
        <f t="shared" si="598"/>
        <v>913.16479810743385</v>
      </c>
      <c r="AB448" s="61">
        <f t="shared" si="599"/>
        <v>182.63295962148678</v>
      </c>
      <c r="AC448" s="61">
        <v>1468.9821986204081</v>
      </c>
      <c r="AD448" s="61">
        <v>668.52795721732366</v>
      </c>
      <c r="AE448" s="61">
        <v>433.26504032230963</v>
      </c>
      <c r="AF448" s="61">
        <v>0</v>
      </c>
      <c r="AG448" s="61">
        <f t="shared" si="600"/>
        <v>252.03348427765178</v>
      </c>
      <c r="AH448" s="64"/>
      <c r="AI448" s="64"/>
      <c r="AJ448" s="67">
        <v>19</v>
      </c>
      <c r="AK448" s="73" t="s">
        <v>66</v>
      </c>
      <c r="AL448" s="67">
        <v>13159</v>
      </c>
      <c r="AM448" s="72" t="s">
        <v>618</v>
      </c>
      <c r="AN448" s="72" t="s">
        <v>614</v>
      </c>
      <c r="AO448" s="138">
        <f t="shared" si="610"/>
        <v>65747.865463735245</v>
      </c>
      <c r="AP448" s="65">
        <f t="shared" si="611"/>
        <v>21915.955154578412</v>
      </c>
      <c r="AQ448" s="65">
        <f t="shared" si="612"/>
        <v>6574.7865463735234</v>
      </c>
      <c r="AR448" s="65">
        <f t="shared" si="613"/>
        <v>323.24642967905538</v>
      </c>
      <c r="AS448" s="65">
        <f t="shared" si="614"/>
        <v>0</v>
      </c>
      <c r="AT448" s="65">
        <f t="shared" si="615"/>
        <v>10957.977577289206</v>
      </c>
      <c r="AU448" s="65">
        <f t="shared" si="616"/>
        <v>2191.5955154578414</v>
      </c>
      <c r="AV448" s="65">
        <f t="shared" si="617"/>
        <v>17627.786383444898</v>
      </c>
      <c r="AW448" s="65">
        <f t="shared" si="618"/>
        <v>8022.3354866078844</v>
      </c>
      <c r="AX448" s="65">
        <f t="shared" si="619"/>
        <v>5199.1804838677153</v>
      </c>
      <c r="AY448" s="65">
        <f t="shared" si="620"/>
        <v>0</v>
      </c>
      <c r="AZ448" s="65">
        <f t="shared" si="621"/>
        <v>3024.4018113318216</v>
      </c>
      <c r="BB448" s="64"/>
      <c r="BC448" s="66"/>
      <c r="BD448" s="66"/>
      <c r="BE448" s="66"/>
    </row>
    <row r="449" spans="2:57" ht="21" customHeight="1" x14ac:dyDescent="0.2">
      <c r="B449" s="67">
        <v>20</v>
      </c>
      <c r="C449" s="73" t="s">
        <v>66</v>
      </c>
      <c r="D449" s="67">
        <v>13054</v>
      </c>
      <c r="E449" s="72" t="s">
        <v>619</v>
      </c>
      <c r="F449" s="72" t="s">
        <v>614</v>
      </c>
      <c r="G449" s="123">
        <v>36271</v>
      </c>
      <c r="H449" s="56" t="str">
        <f t="shared" si="588"/>
        <v>25 AÑOS</v>
      </c>
      <c r="I449" s="57">
        <v>3512.1723004132073</v>
      </c>
      <c r="J449" s="58"/>
      <c r="K449" s="58"/>
      <c r="L449" s="59"/>
      <c r="M449" s="60">
        <v>4.0000000000000002E-4</v>
      </c>
      <c r="N449" s="61">
        <f t="shared" si="609"/>
        <v>140.48689201652829</v>
      </c>
      <c r="O449" s="58">
        <f t="shared" si="589"/>
        <v>3652.6591924297354</v>
      </c>
      <c r="P449" s="61">
        <f t="shared" si="590"/>
        <v>7305.3183848594708</v>
      </c>
      <c r="Q449" s="61">
        <f t="shared" si="591"/>
        <v>5478.9887886446031</v>
      </c>
      <c r="R449" s="61">
        <f t="shared" si="592"/>
        <v>1826.3295962148677</v>
      </c>
      <c r="S449" s="61">
        <f t="shared" si="593"/>
        <v>243.51061282864902</v>
      </c>
      <c r="T449" s="58">
        <f t="shared" si="594"/>
        <v>279.52583246600619</v>
      </c>
      <c r="U449" s="61">
        <f t="shared" si="595"/>
        <v>2739.4943943223016</v>
      </c>
      <c r="V449" s="58">
        <f t="shared" si="596"/>
        <v>913.16479810743385</v>
      </c>
      <c r="W449" s="101">
        <v>7.4999999999999997E-2</v>
      </c>
      <c r="X449" s="63">
        <f t="shared" si="597"/>
        <v>547.89887886446024</v>
      </c>
      <c r="Y449" s="61">
        <v>26.937202473254615</v>
      </c>
      <c r="Z449" s="61">
        <v>0</v>
      </c>
      <c r="AA449" s="61">
        <f t="shared" si="598"/>
        <v>913.16479810743385</v>
      </c>
      <c r="AB449" s="61">
        <f t="shared" si="599"/>
        <v>182.63295962148678</v>
      </c>
      <c r="AC449" s="61">
        <v>1468.9821986204081</v>
      </c>
      <c r="AD449" s="61">
        <v>668.52795721732366</v>
      </c>
      <c r="AE449" s="61">
        <v>433.26504032230963</v>
      </c>
      <c r="AF449" s="61">
        <v>0</v>
      </c>
      <c r="AG449" s="61">
        <f t="shared" si="600"/>
        <v>252.03348427765178</v>
      </c>
      <c r="AH449" s="64"/>
      <c r="AI449" s="64"/>
      <c r="AJ449" s="67">
        <v>20</v>
      </c>
      <c r="AK449" s="73" t="s">
        <v>66</v>
      </c>
      <c r="AL449" s="67">
        <v>13054</v>
      </c>
      <c r="AM449" s="72" t="s">
        <v>619</v>
      </c>
      <c r="AN449" s="72" t="s">
        <v>614</v>
      </c>
      <c r="AO449" s="138">
        <f t="shared" si="610"/>
        <v>65747.865463735245</v>
      </c>
      <c r="AP449" s="65">
        <f t="shared" si="611"/>
        <v>21915.955154578412</v>
      </c>
      <c r="AQ449" s="65">
        <f t="shared" si="612"/>
        <v>6574.7865463735234</v>
      </c>
      <c r="AR449" s="65">
        <f t="shared" si="613"/>
        <v>323.24642967905538</v>
      </c>
      <c r="AS449" s="65">
        <f t="shared" si="614"/>
        <v>0</v>
      </c>
      <c r="AT449" s="65">
        <f t="shared" si="615"/>
        <v>10957.977577289206</v>
      </c>
      <c r="AU449" s="65">
        <f t="shared" si="616"/>
        <v>2191.5955154578414</v>
      </c>
      <c r="AV449" s="65">
        <f t="shared" si="617"/>
        <v>17627.786383444898</v>
      </c>
      <c r="AW449" s="65">
        <f t="shared" si="618"/>
        <v>8022.3354866078844</v>
      </c>
      <c r="AX449" s="65">
        <f t="shared" si="619"/>
        <v>5199.1804838677153</v>
      </c>
      <c r="AY449" s="65">
        <f t="shared" si="620"/>
        <v>0</v>
      </c>
      <c r="AZ449" s="65">
        <f t="shared" si="621"/>
        <v>3024.4018113318216</v>
      </c>
      <c r="BB449" s="64"/>
      <c r="BC449" s="66"/>
      <c r="BD449" s="66"/>
      <c r="BE449" s="66"/>
    </row>
    <row r="450" spans="2:57" ht="21" customHeight="1" x14ac:dyDescent="0.2">
      <c r="B450" s="67">
        <v>22</v>
      </c>
      <c r="C450" s="73" t="s">
        <v>66</v>
      </c>
      <c r="D450" s="67">
        <v>13172</v>
      </c>
      <c r="E450" s="72" t="s">
        <v>620</v>
      </c>
      <c r="F450" s="72" t="s">
        <v>614</v>
      </c>
      <c r="G450" s="123">
        <v>38177</v>
      </c>
      <c r="H450" s="56" t="str">
        <f t="shared" si="588"/>
        <v>20 AÑOS</v>
      </c>
      <c r="I450" s="57">
        <v>3511.956521213207</v>
      </c>
      <c r="J450" s="58"/>
      <c r="K450" s="58"/>
      <c r="L450" s="59"/>
      <c r="M450" s="60">
        <v>4.0000000000000002E-4</v>
      </c>
      <c r="N450" s="61">
        <f t="shared" si="609"/>
        <v>140.47826084852829</v>
      </c>
      <c r="O450" s="58">
        <f t="shared" si="589"/>
        <v>3652.4347820617354</v>
      </c>
      <c r="P450" s="61">
        <f t="shared" si="590"/>
        <v>7304.8695641234708</v>
      </c>
      <c r="Q450" s="61">
        <f t="shared" si="591"/>
        <v>5478.6521730926033</v>
      </c>
      <c r="R450" s="61">
        <f t="shared" si="592"/>
        <v>1826.2173910308677</v>
      </c>
      <c r="S450" s="61">
        <f t="shared" si="593"/>
        <v>243.49565213744901</v>
      </c>
      <c r="T450" s="58">
        <f t="shared" si="594"/>
        <v>279.5086590885777</v>
      </c>
      <c r="U450" s="61">
        <f t="shared" si="595"/>
        <v>2739.3260865463017</v>
      </c>
      <c r="V450" s="58">
        <f t="shared" si="596"/>
        <v>913.10869551543385</v>
      </c>
      <c r="W450" s="101">
        <v>7.4999999999999997E-2</v>
      </c>
      <c r="X450" s="63">
        <f t="shared" si="597"/>
        <v>547.86521730926029</v>
      </c>
      <c r="Y450" s="61">
        <v>26.915659077926648</v>
      </c>
      <c r="Z450" s="61">
        <v>0</v>
      </c>
      <c r="AA450" s="61">
        <f t="shared" si="598"/>
        <v>913.10869551543374</v>
      </c>
      <c r="AB450" s="61">
        <f t="shared" si="599"/>
        <v>182.62173910308675</v>
      </c>
      <c r="AC450" s="61">
        <v>1468.9351759329186</v>
      </c>
      <c r="AD450" s="61">
        <v>668.4868845091969</v>
      </c>
      <c r="AE450" s="61">
        <v>433.23842158729542</v>
      </c>
      <c r="AF450" s="61">
        <v>0</v>
      </c>
      <c r="AG450" s="61">
        <f t="shared" si="600"/>
        <v>252.01799996225972</v>
      </c>
      <c r="AH450" s="64"/>
      <c r="AI450" s="64"/>
      <c r="AJ450" s="67">
        <v>22</v>
      </c>
      <c r="AK450" s="73" t="s">
        <v>66</v>
      </c>
      <c r="AL450" s="67">
        <v>13172</v>
      </c>
      <c r="AM450" s="72" t="s">
        <v>620</v>
      </c>
      <c r="AN450" s="72" t="s">
        <v>614</v>
      </c>
      <c r="AO450" s="138">
        <f t="shared" si="610"/>
        <v>65743.82607711124</v>
      </c>
      <c r="AP450" s="65">
        <f t="shared" si="611"/>
        <v>21914.608692370413</v>
      </c>
      <c r="AQ450" s="65">
        <f t="shared" si="612"/>
        <v>6574.3826077111235</v>
      </c>
      <c r="AR450" s="65">
        <f t="shared" si="613"/>
        <v>322.98790893511978</v>
      </c>
      <c r="AS450" s="65">
        <f t="shared" si="614"/>
        <v>0</v>
      </c>
      <c r="AT450" s="65">
        <f t="shared" si="615"/>
        <v>10957.304346185205</v>
      </c>
      <c r="AU450" s="65">
        <f t="shared" si="616"/>
        <v>2191.4608692370412</v>
      </c>
      <c r="AV450" s="65">
        <f t="shared" si="617"/>
        <v>17627.222111195024</v>
      </c>
      <c r="AW450" s="65">
        <f t="shared" si="618"/>
        <v>8021.8426141103628</v>
      </c>
      <c r="AX450" s="65">
        <f t="shared" si="619"/>
        <v>5198.8610590475455</v>
      </c>
      <c r="AY450" s="65">
        <f t="shared" si="620"/>
        <v>0</v>
      </c>
      <c r="AZ450" s="65">
        <f t="shared" si="621"/>
        <v>3024.2159995471166</v>
      </c>
      <c r="BB450" s="64"/>
      <c r="BC450" s="66"/>
      <c r="BD450" s="66"/>
      <c r="BE450" s="66"/>
    </row>
    <row r="451" spans="2:57" ht="21" customHeight="1" x14ac:dyDescent="0.2">
      <c r="B451" s="67">
        <v>23</v>
      </c>
      <c r="C451" s="73" t="s">
        <v>66</v>
      </c>
      <c r="D451" s="67">
        <v>13056</v>
      </c>
      <c r="E451" s="72" t="s">
        <v>621</v>
      </c>
      <c r="F451" s="72" t="s">
        <v>614</v>
      </c>
      <c r="G451" s="55">
        <v>32603</v>
      </c>
      <c r="H451" s="55" t="str">
        <f t="shared" si="588"/>
        <v>35 AÑOS</v>
      </c>
      <c r="I451" s="57">
        <v>3511.956521213207</v>
      </c>
      <c r="J451" s="57"/>
      <c r="K451" s="57"/>
      <c r="L451" s="74"/>
      <c r="M451" s="60">
        <v>4.0000000000000002E-4</v>
      </c>
      <c r="N451" s="61">
        <f t="shared" si="609"/>
        <v>140.47826084852829</v>
      </c>
      <c r="O451" s="58">
        <f t="shared" si="589"/>
        <v>3652.4347820617354</v>
      </c>
      <c r="P451" s="61">
        <f t="shared" si="590"/>
        <v>7304.8695641234708</v>
      </c>
      <c r="Q451" s="61">
        <f t="shared" si="591"/>
        <v>5478.6521730926033</v>
      </c>
      <c r="R451" s="61">
        <f t="shared" si="592"/>
        <v>1826.2173910308677</v>
      </c>
      <c r="S451" s="61">
        <f t="shared" si="593"/>
        <v>243.49565213744901</v>
      </c>
      <c r="T451" s="58">
        <f t="shared" si="594"/>
        <v>279.5086590885777</v>
      </c>
      <c r="U451" s="61">
        <f t="shared" si="595"/>
        <v>2739.3260865463017</v>
      </c>
      <c r="V451" s="58">
        <f t="shared" si="596"/>
        <v>913.10869551543385</v>
      </c>
      <c r="W451" s="101">
        <v>7.4999999999999997E-2</v>
      </c>
      <c r="X451" s="63">
        <f t="shared" si="597"/>
        <v>547.86521730926029</v>
      </c>
      <c r="Y451" s="61">
        <v>26.915659077926648</v>
      </c>
      <c r="Z451" s="61">
        <v>0</v>
      </c>
      <c r="AA451" s="61">
        <f t="shared" si="598"/>
        <v>913.10869551543374</v>
      </c>
      <c r="AB451" s="61">
        <f t="shared" si="599"/>
        <v>182.62173910308675</v>
      </c>
      <c r="AC451" s="61">
        <v>1468.9351759329186</v>
      </c>
      <c r="AD451" s="61">
        <v>668.4868845091969</v>
      </c>
      <c r="AE451" s="61">
        <v>433.23842158729542</v>
      </c>
      <c r="AF451" s="61">
        <v>0</v>
      </c>
      <c r="AG451" s="61">
        <f t="shared" si="600"/>
        <v>252.01799996225972</v>
      </c>
      <c r="AH451" s="64"/>
      <c r="AI451" s="64"/>
      <c r="AJ451" s="67">
        <v>23</v>
      </c>
      <c r="AK451" s="73" t="s">
        <v>66</v>
      </c>
      <c r="AL451" s="67">
        <v>13056</v>
      </c>
      <c r="AM451" s="72" t="s">
        <v>621</v>
      </c>
      <c r="AN451" s="72" t="s">
        <v>614</v>
      </c>
      <c r="AO451" s="138">
        <f t="shared" si="610"/>
        <v>65743.82607711124</v>
      </c>
      <c r="AP451" s="65">
        <f t="shared" si="611"/>
        <v>21914.608692370413</v>
      </c>
      <c r="AQ451" s="65">
        <f t="shared" si="612"/>
        <v>6574.3826077111235</v>
      </c>
      <c r="AR451" s="65">
        <f t="shared" si="613"/>
        <v>322.98790893511978</v>
      </c>
      <c r="AS451" s="65">
        <f t="shared" si="614"/>
        <v>0</v>
      </c>
      <c r="AT451" s="65">
        <f t="shared" si="615"/>
        <v>10957.304346185205</v>
      </c>
      <c r="AU451" s="65">
        <f t="shared" si="616"/>
        <v>2191.4608692370412</v>
      </c>
      <c r="AV451" s="65">
        <f t="shared" si="617"/>
        <v>17627.222111195024</v>
      </c>
      <c r="AW451" s="65">
        <f t="shared" si="618"/>
        <v>8021.8426141103628</v>
      </c>
      <c r="AX451" s="65">
        <f t="shared" si="619"/>
        <v>5198.8610590475455</v>
      </c>
      <c r="AY451" s="65">
        <f t="shared" si="620"/>
        <v>0</v>
      </c>
      <c r="AZ451" s="65">
        <f t="shared" si="621"/>
        <v>3024.2159995471166</v>
      </c>
      <c r="BB451" s="64"/>
      <c r="BC451" s="66"/>
      <c r="BD451" s="66"/>
      <c r="BE451" s="66"/>
    </row>
    <row r="452" spans="2:57" ht="21" customHeight="1" x14ac:dyDescent="0.2">
      <c r="B452" s="67">
        <v>24</v>
      </c>
      <c r="C452" s="73" t="s">
        <v>66</v>
      </c>
      <c r="D452" s="67">
        <v>13047</v>
      </c>
      <c r="E452" s="72" t="s">
        <v>622</v>
      </c>
      <c r="F452" s="72" t="s">
        <v>623</v>
      </c>
      <c r="G452" s="55">
        <v>34587</v>
      </c>
      <c r="H452" s="55" t="str">
        <f t="shared" si="588"/>
        <v>30 AÑOS</v>
      </c>
      <c r="I452" s="57">
        <v>3170.3326204132072</v>
      </c>
      <c r="J452" s="57"/>
      <c r="K452" s="57"/>
      <c r="L452" s="74"/>
      <c r="M452" s="60">
        <v>7.7999999999999999E-4</v>
      </c>
      <c r="N452" s="61">
        <f t="shared" ref="N452:N456" si="622">I452*0.078</f>
        <v>247.28594439223016</v>
      </c>
      <c r="O452" s="58">
        <f t="shared" si="589"/>
        <v>3417.6185648054375</v>
      </c>
      <c r="P452" s="61">
        <f t="shared" si="590"/>
        <v>6835.2371296108749</v>
      </c>
      <c r="Q452" s="61">
        <f t="shared" si="591"/>
        <v>5126.427847208156</v>
      </c>
      <c r="R452" s="61">
        <f t="shared" si="592"/>
        <v>1708.8092824027187</v>
      </c>
      <c r="S452" s="61">
        <f t="shared" si="593"/>
        <v>227.84123765369583</v>
      </c>
      <c r="T452" s="58">
        <f t="shared" si="594"/>
        <v>261.53895670267741</v>
      </c>
      <c r="U452" s="61">
        <f t="shared" si="595"/>
        <v>2563.213923604078</v>
      </c>
      <c r="V452" s="58">
        <f t="shared" si="596"/>
        <v>854.40464120135937</v>
      </c>
      <c r="W452" s="101">
        <v>7.4999999999999997E-2</v>
      </c>
      <c r="X452" s="63">
        <f t="shared" si="597"/>
        <v>512.6427847208156</v>
      </c>
      <c r="Y452" s="61">
        <v>0</v>
      </c>
      <c r="Z452" s="61">
        <v>25.27</v>
      </c>
      <c r="AA452" s="61">
        <f t="shared" si="598"/>
        <v>854.40464120135937</v>
      </c>
      <c r="AB452" s="61">
        <f t="shared" si="599"/>
        <v>170.88092824027186</v>
      </c>
      <c r="AC452" s="61">
        <v>1420.53</v>
      </c>
      <c r="AD452" s="61">
        <v>626.21</v>
      </c>
      <c r="AE452" s="61">
        <v>405.84</v>
      </c>
      <c r="AF452" s="61">
        <v>0</v>
      </c>
      <c r="AG452" s="61">
        <f t="shared" si="600"/>
        <v>235.81568097157518</v>
      </c>
      <c r="AH452" s="64"/>
      <c r="AI452" s="64"/>
      <c r="AJ452" s="67">
        <v>24</v>
      </c>
      <c r="AK452" s="73" t="s">
        <v>66</v>
      </c>
      <c r="AL452" s="67">
        <v>13047</v>
      </c>
      <c r="AM452" s="72" t="s">
        <v>622</v>
      </c>
      <c r="AN452" s="72" t="s">
        <v>623</v>
      </c>
      <c r="AO452" s="138">
        <f t="shared" ref="AO452:AP456" si="623">Q452*10</f>
        <v>51264.278472081562</v>
      </c>
      <c r="AP452" s="65">
        <f t="shared" si="623"/>
        <v>17088.092824027186</v>
      </c>
      <c r="AQ452" s="65">
        <f t="shared" ref="AQ452:AZ456" si="624">X452*10</f>
        <v>5126.427847208156</v>
      </c>
      <c r="AR452" s="65">
        <f t="shared" si="624"/>
        <v>0</v>
      </c>
      <c r="AS452" s="65">
        <f t="shared" si="624"/>
        <v>252.7</v>
      </c>
      <c r="AT452" s="65">
        <f t="shared" si="624"/>
        <v>8544.046412013593</v>
      </c>
      <c r="AU452" s="65">
        <f t="shared" si="624"/>
        <v>1708.8092824027185</v>
      </c>
      <c r="AV452" s="65">
        <f t="shared" si="624"/>
        <v>14205.3</v>
      </c>
      <c r="AW452" s="65">
        <f t="shared" si="624"/>
        <v>6262.1</v>
      </c>
      <c r="AX452" s="65">
        <f t="shared" si="624"/>
        <v>4058.3999999999996</v>
      </c>
      <c r="AY452" s="65">
        <f t="shared" si="624"/>
        <v>0</v>
      </c>
      <c r="AZ452" s="65">
        <f t="shared" si="624"/>
        <v>2358.1568097157519</v>
      </c>
      <c r="BB452" s="64"/>
      <c r="BC452" s="66"/>
      <c r="BD452" s="66"/>
      <c r="BE452" s="66"/>
    </row>
    <row r="453" spans="2:57" ht="21" customHeight="1" x14ac:dyDescent="0.2">
      <c r="B453" s="67">
        <v>25</v>
      </c>
      <c r="C453" s="73" t="s">
        <v>66</v>
      </c>
      <c r="D453" s="67">
        <v>13258</v>
      </c>
      <c r="E453" s="72" t="s">
        <v>624</v>
      </c>
      <c r="F453" s="72" t="s">
        <v>623</v>
      </c>
      <c r="G453" s="55">
        <v>40863</v>
      </c>
      <c r="H453" s="55" t="str">
        <f t="shared" si="588"/>
        <v>13 AÑOS</v>
      </c>
      <c r="I453" s="57">
        <v>3170.3326204132072</v>
      </c>
      <c r="J453" s="57"/>
      <c r="K453" s="57"/>
      <c r="L453" s="74"/>
      <c r="M453" s="60">
        <v>7.7999999999999999E-4</v>
      </c>
      <c r="N453" s="61">
        <f t="shared" si="622"/>
        <v>247.28594439223016</v>
      </c>
      <c r="O453" s="58">
        <f t="shared" si="589"/>
        <v>3417.6185648054375</v>
      </c>
      <c r="P453" s="61">
        <f t="shared" si="590"/>
        <v>6835.2371296108749</v>
      </c>
      <c r="Q453" s="61">
        <f t="shared" si="591"/>
        <v>5126.427847208156</v>
      </c>
      <c r="R453" s="61">
        <f t="shared" si="592"/>
        <v>1708.8092824027187</v>
      </c>
      <c r="S453" s="61">
        <f t="shared" si="593"/>
        <v>227.84123765369583</v>
      </c>
      <c r="T453" s="58">
        <f t="shared" si="594"/>
        <v>261.53895670267741</v>
      </c>
      <c r="U453" s="61">
        <f t="shared" si="595"/>
        <v>2563.213923604078</v>
      </c>
      <c r="V453" s="58">
        <f t="shared" si="596"/>
        <v>854.40464120135937</v>
      </c>
      <c r="W453" s="101">
        <v>0.05</v>
      </c>
      <c r="X453" s="63">
        <f t="shared" si="597"/>
        <v>341.76185648054377</v>
      </c>
      <c r="Y453" s="61">
        <v>0</v>
      </c>
      <c r="Z453" s="61">
        <v>25.27</v>
      </c>
      <c r="AA453" s="61">
        <f t="shared" si="598"/>
        <v>854.40464120135937</v>
      </c>
      <c r="AB453" s="61">
        <f t="shared" si="599"/>
        <v>170.88092824027186</v>
      </c>
      <c r="AC453" s="61">
        <v>1420.53</v>
      </c>
      <c r="AD453" s="61">
        <v>626.21</v>
      </c>
      <c r="AE453" s="61">
        <v>405.84</v>
      </c>
      <c r="AF453" s="61">
        <v>0</v>
      </c>
      <c r="AG453" s="61">
        <f t="shared" si="600"/>
        <v>235.81568097157518</v>
      </c>
      <c r="AH453" s="64"/>
      <c r="AI453" s="64"/>
      <c r="AJ453" s="67">
        <v>25</v>
      </c>
      <c r="AK453" s="73" t="s">
        <v>66</v>
      </c>
      <c r="AL453" s="67">
        <v>13258</v>
      </c>
      <c r="AM453" s="72" t="s">
        <v>624</v>
      </c>
      <c r="AN453" s="72" t="s">
        <v>623</v>
      </c>
      <c r="AO453" s="138">
        <f t="shared" si="623"/>
        <v>51264.278472081562</v>
      </c>
      <c r="AP453" s="65">
        <f t="shared" si="623"/>
        <v>17088.092824027186</v>
      </c>
      <c r="AQ453" s="65">
        <f t="shared" si="624"/>
        <v>3417.6185648054379</v>
      </c>
      <c r="AR453" s="65">
        <f t="shared" si="624"/>
        <v>0</v>
      </c>
      <c r="AS453" s="65">
        <f t="shared" si="624"/>
        <v>252.7</v>
      </c>
      <c r="AT453" s="65">
        <f t="shared" si="624"/>
        <v>8544.046412013593</v>
      </c>
      <c r="AU453" s="65">
        <f t="shared" si="624"/>
        <v>1708.8092824027185</v>
      </c>
      <c r="AV453" s="65">
        <f t="shared" si="624"/>
        <v>14205.3</v>
      </c>
      <c r="AW453" s="65">
        <f t="shared" si="624"/>
        <v>6262.1</v>
      </c>
      <c r="AX453" s="65">
        <f t="shared" si="624"/>
        <v>4058.3999999999996</v>
      </c>
      <c r="AY453" s="65">
        <f t="shared" si="624"/>
        <v>0</v>
      </c>
      <c r="AZ453" s="65">
        <f t="shared" si="624"/>
        <v>2358.1568097157519</v>
      </c>
      <c r="BB453" s="64"/>
      <c r="BC453" s="66"/>
      <c r="BD453" s="66"/>
      <c r="BE453" s="66"/>
    </row>
    <row r="454" spans="2:57" ht="21" customHeight="1" x14ac:dyDescent="0.2">
      <c r="B454" s="67">
        <v>26</v>
      </c>
      <c r="C454" s="73" t="s">
        <v>66</v>
      </c>
      <c r="D454" s="67">
        <v>13388</v>
      </c>
      <c r="E454" s="72" t="s">
        <v>625</v>
      </c>
      <c r="F454" s="72" t="s">
        <v>623</v>
      </c>
      <c r="G454" s="55">
        <v>45108</v>
      </c>
      <c r="H454" s="55" t="str">
        <f t="shared" si="588"/>
        <v>1 AÑOS</v>
      </c>
      <c r="I454" s="57">
        <v>3170.0105957691849</v>
      </c>
      <c r="J454" s="57"/>
      <c r="K454" s="57"/>
      <c r="L454" s="74"/>
      <c r="M454" s="60">
        <v>7.7999999999999999E-4</v>
      </c>
      <c r="N454" s="61">
        <f t="shared" si="622"/>
        <v>247.26082646999643</v>
      </c>
      <c r="O454" s="58">
        <f t="shared" si="589"/>
        <v>3417.2714222391814</v>
      </c>
      <c r="P454" s="61">
        <f t="shared" si="590"/>
        <v>6834.5428444783629</v>
      </c>
      <c r="Q454" s="61">
        <f t="shared" si="591"/>
        <v>5125.9071333587726</v>
      </c>
      <c r="R454" s="61">
        <f t="shared" si="592"/>
        <v>1708.6357111195907</v>
      </c>
      <c r="S454" s="61">
        <f t="shared" si="593"/>
        <v>227.81809481594544</v>
      </c>
      <c r="T454" s="58">
        <f t="shared" si="594"/>
        <v>261.51239103922376</v>
      </c>
      <c r="U454" s="61">
        <f t="shared" si="595"/>
        <v>2562.9535666793863</v>
      </c>
      <c r="V454" s="58">
        <f t="shared" si="596"/>
        <v>854.31785555979536</v>
      </c>
      <c r="W454" s="101">
        <v>0</v>
      </c>
      <c r="X454" s="63">
        <f t="shared" si="597"/>
        <v>0</v>
      </c>
      <c r="Y454" s="61">
        <v>0</v>
      </c>
      <c r="Z454" s="61">
        <v>25.27</v>
      </c>
      <c r="AA454" s="61">
        <f t="shared" si="598"/>
        <v>854.31785555979548</v>
      </c>
      <c r="AB454" s="61">
        <f t="shared" si="599"/>
        <v>170.86357111195912</v>
      </c>
      <c r="AC454" s="61">
        <v>1420.53</v>
      </c>
      <c r="AD454" s="61">
        <v>626.21</v>
      </c>
      <c r="AE454" s="61">
        <v>405.84</v>
      </c>
      <c r="AF454" s="61">
        <v>0</v>
      </c>
      <c r="AG454" s="61">
        <f t="shared" si="600"/>
        <v>235.7917281345035</v>
      </c>
      <c r="AH454" s="64"/>
      <c r="AI454" s="64"/>
      <c r="AJ454" s="67">
        <v>26</v>
      </c>
      <c r="AK454" s="73" t="s">
        <v>66</v>
      </c>
      <c r="AL454" s="67">
        <v>13388</v>
      </c>
      <c r="AM454" s="72" t="s">
        <v>625</v>
      </c>
      <c r="AN454" s="72" t="s">
        <v>623</v>
      </c>
      <c r="AO454" s="138">
        <f t="shared" si="623"/>
        <v>51259.071333587723</v>
      </c>
      <c r="AP454" s="65">
        <f t="shared" si="623"/>
        <v>17086.357111195906</v>
      </c>
      <c r="AQ454" s="65">
        <f t="shared" si="624"/>
        <v>0</v>
      </c>
      <c r="AR454" s="65">
        <f t="shared" si="624"/>
        <v>0</v>
      </c>
      <c r="AS454" s="65">
        <f t="shared" si="624"/>
        <v>252.7</v>
      </c>
      <c r="AT454" s="65">
        <f t="shared" si="624"/>
        <v>8543.178555597955</v>
      </c>
      <c r="AU454" s="65">
        <f t="shared" si="624"/>
        <v>1708.6357111195912</v>
      </c>
      <c r="AV454" s="65">
        <f t="shared" si="624"/>
        <v>14205.3</v>
      </c>
      <c r="AW454" s="65">
        <f t="shared" si="624"/>
        <v>6262.1</v>
      </c>
      <c r="AX454" s="65">
        <f t="shared" si="624"/>
        <v>4058.3999999999996</v>
      </c>
      <c r="AY454" s="65">
        <f t="shared" si="624"/>
        <v>0</v>
      </c>
      <c r="AZ454" s="65">
        <f t="shared" si="624"/>
        <v>2357.917281345035</v>
      </c>
      <c r="BB454" s="64"/>
      <c r="BC454" s="66"/>
      <c r="BD454" s="66"/>
      <c r="BE454" s="66"/>
    </row>
    <row r="455" spans="2:57" ht="21" customHeight="1" x14ac:dyDescent="0.2">
      <c r="B455" s="67">
        <v>27</v>
      </c>
      <c r="C455" s="73" t="s">
        <v>66</v>
      </c>
      <c r="D455" s="67">
        <v>13411</v>
      </c>
      <c r="E455" s="73" t="s">
        <v>626</v>
      </c>
      <c r="F455" s="72" t="s">
        <v>623</v>
      </c>
      <c r="G455" s="55">
        <v>45474</v>
      </c>
      <c r="H455" s="55" t="str">
        <f t="shared" si="588"/>
        <v>0 AÑOS</v>
      </c>
      <c r="I455" s="57">
        <v>3170.3326204132072</v>
      </c>
      <c r="J455" s="57"/>
      <c r="K455" s="57"/>
      <c r="L455" s="74"/>
      <c r="M455" s="60">
        <v>7.7999999999999999E-4</v>
      </c>
      <c r="N455" s="61">
        <f t="shared" si="622"/>
        <v>247.28594439223016</v>
      </c>
      <c r="O455" s="58">
        <f t="shared" si="589"/>
        <v>3417.6185648054375</v>
      </c>
      <c r="P455" s="61">
        <f t="shared" si="590"/>
        <v>6835.2371296108749</v>
      </c>
      <c r="Q455" s="61">
        <f t="shared" si="591"/>
        <v>5126.427847208156</v>
      </c>
      <c r="R455" s="61">
        <f t="shared" si="592"/>
        <v>1708.8092824027187</v>
      </c>
      <c r="S455" s="61">
        <f t="shared" si="593"/>
        <v>227.84123765369583</v>
      </c>
      <c r="T455" s="58">
        <f t="shared" si="594"/>
        <v>261.53895670267741</v>
      </c>
      <c r="U455" s="61">
        <f t="shared" si="595"/>
        <v>2563.213923604078</v>
      </c>
      <c r="V455" s="58">
        <f t="shared" si="596"/>
        <v>854.40464120135937</v>
      </c>
      <c r="W455" s="101">
        <v>0</v>
      </c>
      <c r="X455" s="63">
        <f t="shared" si="597"/>
        <v>0</v>
      </c>
      <c r="Y455" s="61">
        <v>0</v>
      </c>
      <c r="Z455" s="61">
        <v>25.27</v>
      </c>
      <c r="AA455" s="61">
        <f t="shared" si="598"/>
        <v>854.40464120135937</v>
      </c>
      <c r="AB455" s="61">
        <f t="shared" si="599"/>
        <v>170.88092824027186</v>
      </c>
      <c r="AC455" s="61">
        <v>1420.53</v>
      </c>
      <c r="AD455" s="61">
        <v>626.21</v>
      </c>
      <c r="AE455" s="61">
        <v>405.84</v>
      </c>
      <c r="AF455" s="61">
        <v>0</v>
      </c>
      <c r="AG455" s="61">
        <f t="shared" si="600"/>
        <v>235.81568097157518</v>
      </c>
      <c r="AH455" s="64"/>
      <c r="AI455" s="64"/>
      <c r="AJ455" s="67">
        <v>27</v>
      </c>
      <c r="AK455" s="73" t="s">
        <v>66</v>
      </c>
      <c r="AL455" s="67">
        <v>13411</v>
      </c>
      <c r="AM455" s="73" t="s">
        <v>626</v>
      </c>
      <c r="AN455" s="72" t="s">
        <v>623</v>
      </c>
      <c r="AO455" s="138">
        <f t="shared" si="623"/>
        <v>51264.278472081562</v>
      </c>
      <c r="AP455" s="65">
        <f t="shared" si="623"/>
        <v>17088.092824027186</v>
      </c>
      <c r="AQ455" s="65">
        <f t="shared" si="624"/>
        <v>0</v>
      </c>
      <c r="AR455" s="65">
        <f t="shared" si="624"/>
        <v>0</v>
      </c>
      <c r="AS455" s="65">
        <f t="shared" si="624"/>
        <v>252.7</v>
      </c>
      <c r="AT455" s="65">
        <f t="shared" si="624"/>
        <v>8544.046412013593</v>
      </c>
      <c r="AU455" s="65">
        <f t="shared" si="624"/>
        <v>1708.8092824027185</v>
      </c>
      <c r="AV455" s="65">
        <f t="shared" si="624"/>
        <v>14205.3</v>
      </c>
      <c r="AW455" s="65">
        <f t="shared" si="624"/>
        <v>6262.1</v>
      </c>
      <c r="AX455" s="65">
        <f t="shared" si="624"/>
        <v>4058.3999999999996</v>
      </c>
      <c r="AY455" s="65">
        <f t="shared" si="624"/>
        <v>0</v>
      </c>
      <c r="AZ455" s="65">
        <f t="shared" si="624"/>
        <v>2358.1568097157519</v>
      </c>
      <c r="BB455" s="64"/>
      <c r="BC455" s="66"/>
      <c r="BD455" s="66"/>
      <c r="BE455" s="66"/>
    </row>
    <row r="456" spans="2:57" ht="21" customHeight="1" x14ac:dyDescent="0.2">
      <c r="B456" s="67">
        <v>21</v>
      </c>
      <c r="C456" s="73" t="s">
        <v>66</v>
      </c>
      <c r="D456" s="67">
        <v>13335</v>
      </c>
      <c r="E456" s="73" t="s">
        <v>627</v>
      </c>
      <c r="F456" s="72" t="s">
        <v>623</v>
      </c>
      <c r="G456" s="55">
        <v>43085</v>
      </c>
      <c r="H456" s="55" t="str">
        <f xml:space="preserve"> CONCATENATE(DATEDIF(G456,H$5,"Y")," AÑOS")</f>
        <v>7 AÑOS</v>
      </c>
      <c r="I456" s="57">
        <v>3170.3326204132072</v>
      </c>
      <c r="J456" s="81"/>
      <c r="K456" s="108"/>
      <c r="L456" s="109"/>
      <c r="M456" s="247">
        <v>7.7999999999999999E-4</v>
      </c>
      <c r="N456" s="185">
        <f t="shared" si="622"/>
        <v>247.28594439223016</v>
      </c>
      <c r="O456" s="58">
        <f>I456+N456</f>
        <v>3417.6185648054375</v>
      </c>
      <c r="P456" s="61">
        <f>O456*2</f>
        <v>6835.2371296108749</v>
      </c>
      <c r="Q456" s="61">
        <f>P456*0.75</f>
        <v>5126.427847208156</v>
      </c>
      <c r="R456" s="61">
        <f>P456*0.25</f>
        <v>1708.8092824027187</v>
      </c>
      <c r="S456" s="61">
        <f>(P456/30)</f>
        <v>227.84123765369583</v>
      </c>
      <c r="T456" s="58">
        <f>S456*1.1479</f>
        <v>261.53895670267741</v>
      </c>
      <c r="U456" s="61">
        <f>O456*0.75</f>
        <v>2563.213923604078</v>
      </c>
      <c r="V456" s="58">
        <f>O456*0.25</f>
        <v>854.40464120135937</v>
      </c>
      <c r="W456" s="101">
        <v>2.5000000000000001E-2</v>
      </c>
      <c r="X456" s="63">
        <f>P456*W456</f>
        <v>170.88092824027188</v>
      </c>
      <c r="Y456" s="61">
        <v>0</v>
      </c>
      <c r="Z456" s="61">
        <v>25.27</v>
      </c>
      <c r="AA456" s="61">
        <f>(S456*45)/12</f>
        <v>854.40464120135937</v>
      </c>
      <c r="AB456" s="61">
        <f>(S456*10)*(0.45*2)/12</f>
        <v>170.88092824027186</v>
      </c>
      <c r="AC456" s="61">
        <v>1420.53</v>
      </c>
      <c r="AD456" s="61">
        <v>626.21</v>
      </c>
      <c r="AE456" s="61">
        <v>405.84</v>
      </c>
      <c r="AF456" s="61">
        <v>0</v>
      </c>
      <c r="AG456" s="61">
        <f>(P456+AA456+AB456)*0.03</f>
        <v>235.81568097157518</v>
      </c>
      <c r="AH456" s="64"/>
      <c r="AI456" s="64"/>
      <c r="AJ456" s="67">
        <v>21</v>
      </c>
      <c r="AK456" s="73" t="s">
        <v>66</v>
      </c>
      <c r="AL456" s="67">
        <v>13335</v>
      </c>
      <c r="AM456" s="73" t="s">
        <v>627</v>
      </c>
      <c r="AN456" s="72" t="s">
        <v>623</v>
      </c>
      <c r="AO456" s="138">
        <f t="shared" si="623"/>
        <v>51264.278472081562</v>
      </c>
      <c r="AP456" s="65">
        <f t="shared" si="623"/>
        <v>17088.092824027186</v>
      </c>
      <c r="AQ456" s="65">
        <f t="shared" si="624"/>
        <v>1708.809282402719</v>
      </c>
      <c r="AR456" s="65">
        <f t="shared" si="624"/>
        <v>0</v>
      </c>
      <c r="AS456" s="65">
        <f t="shared" si="624"/>
        <v>252.7</v>
      </c>
      <c r="AT456" s="65">
        <f t="shared" si="624"/>
        <v>8544.046412013593</v>
      </c>
      <c r="AU456" s="65">
        <f t="shared" si="624"/>
        <v>1708.8092824027185</v>
      </c>
      <c r="AV456" s="65">
        <f t="shared" si="624"/>
        <v>14205.3</v>
      </c>
      <c r="AW456" s="65">
        <f t="shared" si="624"/>
        <v>6262.1</v>
      </c>
      <c r="AX456" s="65">
        <f t="shared" si="624"/>
        <v>4058.3999999999996</v>
      </c>
      <c r="AY456" s="65">
        <f t="shared" si="624"/>
        <v>0</v>
      </c>
      <c r="AZ456" s="65">
        <f t="shared" si="624"/>
        <v>2358.1568097157519</v>
      </c>
      <c r="BB456" s="64"/>
      <c r="BC456" s="66"/>
      <c r="BD456" s="66"/>
      <c r="BE456" s="66"/>
    </row>
    <row r="457" spans="2:57" ht="21" customHeight="1" x14ac:dyDescent="0.2">
      <c r="B457" s="67">
        <v>28</v>
      </c>
      <c r="C457" s="73" t="s">
        <v>66</v>
      </c>
      <c r="D457" s="67">
        <v>13337</v>
      </c>
      <c r="E457" s="112" t="s">
        <v>628</v>
      </c>
      <c r="F457" s="72" t="s">
        <v>629</v>
      </c>
      <c r="G457" s="55">
        <v>43175</v>
      </c>
      <c r="H457" s="55" t="str">
        <f t="shared" si="588"/>
        <v>6 AÑOS</v>
      </c>
      <c r="I457" s="57">
        <v>4152.7765197399503</v>
      </c>
      <c r="J457" s="57"/>
      <c r="K457" s="57"/>
      <c r="L457" s="74"/>
      <c r="M457" s="171">
        <v>4.0000000000000002E-4</v>
      </c>
      <c r="N457" s="81">
        <f t="shared" si="609"/>
        <v>166.11106078959801</v>
      </c>
      <c r="O457" s="57">
        <f t="shared" si="589"/>
        <v>4318.8875805295484</v>
      </c>
      <c r="P457" s="81">
        <f t="shared" si="590"/>
        <v>8637.7751610590967</v>
      </c>
      <c r="Q457" s="81">
        <f t="shared" si="591"/>
        <v>6478.3313707943225</v>
      </c>
      <c r="R457" s="81">
        <f t="shared" si="592"/>
        <v>2159.4437902647742</v>
      </c>
      <c r="S457" s="81">
        <f t="shared" si="593"/>
        <v>287.92583870196989</v>
      </c>
      <c r="T457" s="57">
        <f t="shared" si="594"/>
        <v>330.51007024599124</v>
      </c>
      <c r="U457" s="81">
        <f t="shared" si="595"/>
        <v>3239.1656853971613</v>
      </c>
      <c r="V457" s="57">
        <f t="shared" si="596"/>
        <v>1079.7218951323871</v>
      </c>
      <c r="W457" s="101">
        <v>2.5000000000000001E-2</v>
      </c>
      <c r="X457" s="158">
        <f t="shared" si="597"/>
        <v>215.94437902647743</v>
      </c>
      <c r="Y457" s="81">
        <v>141.68171714242226</v>
      </c>
      <c r="Z457" s="81">
        <v>0</v>
      </c>
      <c r="AA457" s="81">
        <f t="shared" si="598"/>
        <v>1079.7218951323871</v>
      </c>
      <c r="AB457" s="81">
        <f t="shared" si="599"/>
        <v>215.94437902647743</v>
      </c>
      <c r="AC457" s="81">
        <v>1608.5829201446231</v>
      </c>
      <c r="AD457" s="81">
        <v>807.88229020578865</v>
      </c>
      <c r="AE457" s="81">
        <v>512.2906088812864</v>
      </c>
      <c r="AF457" s="81">
        <v>0</v>
      </c>
      <c r="AG457" s="81">
        <f t="shared" si="600"/>
        <v>298.00324305653879</v>
      </c>
      <c r="AH457" s="64"/>
      <c r="AI457" s="64"/>
      <c r="AJ457" s="67">
        <v>28</v>
      </c>
      <c r="AK457" s="73" t="s">
        <v>66</v>
      </c>
      <c r="AL457" s="67">
        <v>13337</v>
      </c>
      <c r="AM457" s="112" t="s">
        <v>628</v>
      </c>
      <c r="AN457" s="72" t="s">
        <v>629</v>
      </c>
      <c r="AO457" s="126">
        <f t="shared" ref="AO457:AP460" si="625">Q457*12</f>
        <v>77739.976449531867</v>
      </c>
      <c r="AP457" s="159">
        <f t="shared" si="625"/>
        <v>25913.32548317729</v>
      </c>
      <c r="AQ457" s="159">
        <f t="shared" ref="AQ457:AZ460" si="626">X457*12</f>
        <v>2591.3325483177291</v>
      </c>
      <c r="AR457" s="159">
        <f t="shared" si="626"/>
        <v>1700.1806057090671</v>
      </c>
      <c r="AS457" s="159">
        <f t="shared" si="626"/>
        <v>0</v>
      </c>
      <c r="AT457" s="159">
        <f t="shared" si="626"/>
        <v>12956.662741588645</v>
      </c>
      <c r="AU457" s="159">
        <f t="shared" si="626"/>
        <v>2591.3325483177291</v>
      </c>
      <c r="AV457" s="159">
        <f t="shared" si="626"/>
        <v>19302.995041735478</v>
      </c>
      <c r="AW457" s="159">
        <f t="shared" si="626"/>
        <v>9694.5874824694638</v>
      </c>
      <c r="AX457" s="159">
        <f t="shared" si="626"/>
        <v>6147.4873065754364</v>
      </c>
      <c r="AY457" s="159">
        <f t="shared" si="626"/>
        <v>0</v>
      </c>
      <c r="AZ457" s="159">
        <f t="shared" si="626"/>
        <v>3576.0389166784653</v>
      </c>
      <c r="BB457" s="64"/>
      <c r="BC457" s="66"/>
      <c r="BD457" s="66"/>
      <c r="BE457" s="66"/>
    </row>
    <row r="458" spans="2:57" ht="21" customHeight="1" x14ac:dyDescent="0.2">
      <c r="B458" s="67">
        <v>29</v>
      </c>
      <c r="C458" s="73" t="s">
        <v>66</v>
      </c>
      <c r="D458" s="67">
        <v>11057</v>
      </c>
      <c r="E458" s="112" t="s">
        <v>630</v>
      </c>
      <c r="F458" s="72" t="s">
        <v>631</v>
      </c>
      <c r="G458" s="55">
        <v>31259</v>
      </c>
      <c r="H458" s="55" t="str">
        <f t="shared" si="588"/>
        <v>39 AÑOS</v>
      </c>
      <c r="I458" s="57">
        <v>3882.1461398018419</v>
      </c>
      <c r="J458" s="57"/>
      <c r="K458" s="57"/>
      <c r="L458" s="74"/>
      <c r="M458" s="171">
        <v>4.0000000000000002E-4</v>
      </c>
      <c r="N458" s="81">
        <f t="shared" si="609"/>
        <v>155.28584559207368</v>
      </c>
      <c r="O458" s="57">
        <f t="shared" si="589"/>
        <v>4037.4319853939155</v>
      </c>
      <c r="P458" s="81">
        <f t="shared" si="590"/>
        <v>8074.863970787831</v>
      </c>
      <c r="Q458" s="81">
        <f t="shared" si="591"/>
        <v>6056.147978090873</v>
      </c>
      <c r="R458" s="81">
        <f t="shared" si="592"/>
        <v>2018.7159926969578</v>
      </c>
      <c r="S458" s="81">
        <f t="shared" si="593"/>
        <v>269.16213235959435</v>
      </c>
      <c r="T458" s="57">
        <f t="shared" si="594"/>
        <v>308.97121173557832</v>
      </c>
      <c r="U458" s="81">
        <f t="shared" si="595"/>
        <v>3028.0739890454365</v>
      </c>
      <c r="V458" s="57">
        <f t="shared" si="596"/>
        <v>1009.3579963484789</v>
      </c>
      <c r="W458" s="101">
        <v>7.4999999999999997E-2</v>
      </c>
      <c r="X458" s="158">
        <f t="shared" si="597"/>
        <v>605.61479780908735</v>
      </c>
      <c r="Y458" s="81">
        <v>63.875390597815908</v>
      </c>
      <c r="Z458" s="81">
        <v>0</v>
      </c>
      <c r="AA458" s="81">
        <f t="shared" si="598"/>
        <v>1009.3579963484789</v>
      </c>
      <c r="AB458" s="81">
        <f t="shared" si="599"/>
        <v>201.87159926969579</v>
      </c>
      <c r="AC458" s="81">
        <v>1549.6070421127265</v>
      </c>
      <c r="AD458" s="81">
        <v>738.95099854739601</v>
      </c>
      <c r="AE458" s="81">
        <v>478.90537819014645</v>
      </c>
      <c r="AF458" s="81">
        <v>0</v>
      </c>
      <c r="AG458" s="81">
        <f t="shared" si="600"/>
        <v>278.58280699218017</v>
      </c>
      <c r="AH458" s="64"/>
      <c r="AI458" s="64"/>
      <c r="AJ458" s="67">
        <v>29</v>
      </c>
      <c r="AK458" s="73" t="s">
        <v>66</v>
      </c>
      <c r="AL458" s="67">
        <v>11057</v>
      </c>
      <c r="AM458" s="112" t="s">
        <v>630</v>
      </c>
      <c r="AN458" s="72" t="s">
        <v>631</v>
      </c>
      <c r="AO458" s="138">
        <f t="shared" si="625"/>
        <v>72673.775737090473</v>
      </c>
      <c r="AP458" s="65">
        <f t="shared" si="625"/>
        <v>24224.591912363492</v>
      </c>
      <c r="AQ458" s="65">
        <f t="shared" si="626"/>
        <v>7267.3775737090482</v>
      </c>
      <c r="AR458" s="65">
        <f t="shared" si="626"/>
        <v>766.5046871737909</v>
      </c>
      <c r="AS458" s="65">
        <f t="shared" si="626"/>
        <v>0</v>
      </c>
      <c r="AT458" s="65">
        <f t="shared" si="626"/>
        <v>12112.295956181746</v>
      </c>
      <c r="AU458" s="65">
        <f t="shared" si="626"/>
        <v>2422.4591912363494</v>
      </c>
      <c r="AV458" s="65">
        <f t="shared" si="626"/>
        <v>18595.28450535272</v>
      </c>
      <c r="AW458" s="65">
        <f t="shared" si="626"/>
        <v>8867.4119825687521</v>
      </c>
      <c r="AX458" s="65">
        <f t="shared" si="626"/>
        <v>5746.8645382817576</v>
      </c>
      <c r="AY458" s="65">
        <f t="shared" si="626"/>
        <v>0</v>
      </c>
      <c r="AZ458" s="65">
        <f t="shared" si="626"/>
        <v>3342.993683906162</v>
      </c>
      <c r="BB458" s="64"/>
      <c r="BC458" s="66"/>
      <c r="BD458" s="66"/>
      <c r="BE458" s="66"/>
    </row>
    <row r="459" spans="2:57" ht="21" customHeight="1" x14ac:dyDescent="0.2">
      <c r="B459" s="67">
        <v>30</v>
      </c>
      <c r="C459" s="73" t="s">
        <v>66</v>
      </c>
      <c r="D459" s="67">
        <v>13394</v>
      </c>
      <c r="E459" s="72" t="s">
        <v>632</v>
      </c>
      <c r="F459" s="72" t="s">
        <v>631</v>
      </c>
      <c r="G459" s="169">
        <v>45123</v>
      </c>
      <c r="H459" s="55" t="str">
        <f t="shared" si="588"/>
        <v>1 AÑOS</v>
      </c>
      <c r="I459" s="57">
        <v>3882.1439601474326</v>
      </c>
      <c r="J459" s="57"/>
      <c r="K459" s="57"/>
      <c r="L459" s="74"/>
      <c r="M459" s="171">
        <v>4.0000000000000002E-4</v>
      </c>
      <c r="N459" s="81">
        <f t="shared" si="609"/>
        <v>155.2857584058973</v>
      </c>
      <c r="O459" s="57">
        <f t="shared" si="589"/>
        <v>4037.4297185533301</v>
      </c>
      <c r="P459" s="81">
        <f t="shared" si="590"/>
        <v>8074.8594371066602</v>
      </c>
      <c r="Q459" s="81">
        <f t="shared" si="591"/>
        <v>6056.1445778299949</v>
      </c>
      <c r="R459" s="81">
        <f t="shared" si="592"/>
        <v>2018.714859276665</v>
      </c>
      <c r="S459" s="81">
        <f t="shared" si="593"/>
        <v>269.16198123688866</v>
      </c>
      <c r="T459" s="57">
        <f t="shared" si="594"/>
        <v>308.9710382618245</v>
      </c>
      <c r="U459" s="81">
        <f t="shared" si="595"/>
        <v>3028.0722889149974</v>
      </c>
      <c r="V459" s="57">
        <f t="shared" si="596"/>
        <v>1009.3574296383325</v>
      </c>
      <c r="W459" s="101">
        <v>0.05</v>
      </c>
      <c r="X459" s="158">
        <f t="shared" si="597"/>
        <v>403.74297185533305</v>
      </c>
      <c r="Y459" s="81">
        <v>63.875172981119704</v>
      </c>
      <c r="Z459" s="81">
        <v>0</v>
      </c>
      <c r="AA459" s="81">
        <f t="shared" si="598"/>
        <v>1009.3574296383325</v>
      </c>
      <c r="AB459" s="81">
        <f t="shared" si="599"/>
        <v>201.8714859276665</v>
      </c>
      <c r="AC459" s="81">
        <v>1549.6065671215867</v>
      </c>
      <c r="AD459" s="81">
        <v>738.95058365889258</v>
      </c>
      <c r="AE459" s="81">
        <v>478.90510930582798</v>
      </c>
      <c r="AF459" s="81">
        <v>0</v>
      </c>
      <c r="AG459" s="81">
        <f t="shared" si="600"/>
        <v>278.58265058017975</v>
      </c>
      <c r="AH459" s="64"/>
      <c r="AI459" s="64"/>
      <c r="AJ459" s="67">
        <v>30</v>
      </c>
      <c r="AK459" s="73" t="s">
        <v>66</v>
      </c>
      <c r="AL459" s="67">
        <v>13394</v>
      </c>
      <c r="AM459" s="72" t="s">
        <v>632</v>
      </c>
      <c r="AN459" s="72" t="s">
        <v>631</v>
      </c>
      <c r="AO459" s="138">
        <f t="shared" si="625"/>
        <v>72673.734933959931</v>
      </c>
      <c r="AP459" s="65">
        <f t="shared" si="625"/>
        <v>24224.57831131998</v>
      </c>
      <c r="AQ459" s="65">
        <f t="shared" si="626"/>
        <v>4844.9156622639966</v>
      </c>
      <c r="AR459" s="65">
        <f t="shared" si="626"/>
        <v>766.50207577343645</v>
      </c>
      <c r="AS459" s="65">
        <f t="shared" si="626"/>
        <v>0</v>
      </c>
      <c r="AT459" s="65">
        <f t="shared" si="626"/>
        <v>12112.28915565999</v>
      </c>
      <c r="AU459" s="65">
        <f t="shared" si="626"/>
        <v>2422.4578311319979</v>
      </c>
      <c r="AV459" s="65">
        <f t="shared" si="626"/>
        <v>18595.278805459042</v>
      </c>
      <c r="AW459" s="65">
        <f t="shared" si="626"/>
        <v>8867.4070039067119</v>
      </c>
      <c r="AX459" s="65">
        <f t="shared" si="626"/>
        <v>5746.8613116699362</v>
      </c>
      <c r="AY459" s="65">
        <f t="shared" si="626"/>
        <v>0</v>
      </c>
      <c r="AZ459" s="65">
        <f t="shared" si="626"/>
        <v>3342.9918069621572</v>
      </c>
      <c r="BB459" s="64"/>
      <c r="BC459" s="66"/>
      <c r="BD459" s="66"/>
      <c r="BE459" s="66"/>
    </row>
    <row r="460" spans="2:57" ht="21" customHeight="1" x14ac:dyDescent="0.2">
      <c r="B460" s="67">
        <v>31</v>
      </c>
      <c r="C460" s="73" t="s">
        <v>66</v>
      </c>
      <c r="D460" s="67">
        <v>13396</v>
      </c>
      <c r="E460" s="72" t="s">
        <v>633</v>
      </c>
      <c r="F460" s="72" t="s">
        <v>631</v>
      </c>
      <c r="G460" s="55">
        <v>45261</v>
      </c>
      <c r="H460" s="55" t="str">
        <f t="shared" si="588"/>
        <v>1 AÑOS</v>
      </c>
      <c r="I460" s="57">
        <v>3882.1461398018419</v>
      </c>
      <c r="J460" s="57"/>
      <c r="K460" s="57"/>
      <c r="L460" s="74"/>
      <c r="M460" s="171">
        <v>4.0000000000000002E-4</v>
      </c>
      <c r="N460" s="81">
        <f t="shared" si="609"/>
        <v>155.28584559207368</v>
      </c>
      <c r="O460" s="57">
        <f t="shared" si="589"/>
        <v>4037.4319853939155</v>
      </c>
      <c r="P460" s="81">
        <f t="shared" si="590"/>
        <v>8074.863970787831</v>
      </c>
      <c r="Q460" s="81">
        <f t="shared" si="591"/>
        <v>6056.147978090873</v>
      </c>
      <c r="R460" s="81">
        <f t="shared" si="592"/>
        <v>2018.7159926969578</v>
      </c>
      <c r="S460" s="81">
        <f t="shared" si="593"/>
        <v>269.16213235959435</v>
      </c>
      <c r="T460" s="57">
        <f t="shared" si="594"/>
        <v>308.97121173557832</v>
      </c>
      <c r="U460" s="81">
        <f t="shared" si="595"/>
        <v>3028.0739890454365</v>
      </c>
      <c r="V460" s="57">
        <f t="shared" si="596"/>
        <v>1009.3579963484789</v>
      </c>
      <c r="W460" s="101">
        <v>0</v>
      </c>
      <c r="X460" s="158">
        <f t="shared" si="597"/>
        <v>0</v>
      </c>
      <c r="Y460" s="81">
        <v>63.875390597815908</v>
      </c>
      <c r="Z460" s="81">
        <v>0</v>
      </c>
      <c r="AA460" s="81">
        <f t="shared" si="598"/>
        <v>1009.3579963484789</v>
      </c>
      <c r="AB460" s="81">
        <f t="shared" si="599"/>
        <v>201.87159926969579</v>
      </c>
      <c r="AC460" s="81">
        <v>1549.6070421127265</v>
      </c>
      <c r="AD460" s="81">
        <v>738.95099854739601</v>
      </c>
      <c r="AE460" s="81">
        <v>478.90537819014645</v>
      </c>
      <c r="AF460" s="81">
        <v>0</v>
      </c>
      <c r="AG460" s="81">
        <f t="shared" si="600"/>
        <v>278.58280699218017</v>
      </c>
      <c r="AH460" s="64"/>
      <c r="AI460" s="64"/>
      <c r="AJ460" s="67">
        <v>31</v>
      </c>
      <c r="AK460" s="73" t="s">
        <v>66</v>
      </c>
      <c r="AL460" s="67">
        <v>13396</v>
      </c>
      <c r="AM460" s="72" t="s">
        <v>633</v>
      </c>
      <c r="AN460" s="72" t="s">
        <v>631</v>
      </c>
      <c r="AO460" s="138">
        <f t="shared" si="625"/>
        <v>72673.775737090473</v>
      </c>
      <c r="AP460" s="65">
        <f t="shared" si="625"/>
        <v>24224.591912363492</v>
      </c>
      <c r="AQ460" s="65">
        <f t="shared" si="626"/>
        <v>0</v>
      </c>
      <c r="AR460" s="65">
        <f t="shared" si="626"/>
        <v>766.5046871737909</v>
      </c>
      <c r="AS460" s="65">
        <f t="shared" si="626"/>
        <v>0</v>
      </c>
      <c r="AT460" s="65">
        <f t="shared" si="626"/>
        <v>12112.295956181746</v>
      </c>
      <c r="AU460" s="65">
        <f t="shared" si="626"/>
        <v>2422.4591912363494</v>
      </c>
      <c r="AV460" s="65">
        <f t="shared" si="626"/>
        <v>18595.28450535272</v>
      </c>
      <c r="AW460" s="65">
        <f t="shared" si="626"/>
        <v>8867.4119825687521</v>
      </c>
      <c r="AX460" s="65">
        <f t="shared" si="626"/>
        <v>5746.8645382817576</v>
      </c>
      <c r="AY460" s="65">
        <f t="shared" si="626"/>
        <v>0</v>
      </c>
      <c r="AZ460" s="65">
        <f t="shared" si="626"/>
        <v>3342.993683906162</v>
      </c>
      <c r="BB460" s="64"/>
      <c r="BC460" s="66"/>
      <c r="BD460" s="66"/>
      <c r="BE460" s="66"/>
    </row>
    <row r="461" spans="2:57" ht="21" customHeight="1" x14ac:dyDescent="0.2">
      <c r="B461" s="67">
        <v>32</v>
      </c>
      <c r="C461" s="73" t="s">
        <v>66</v>
      </c>
      <c r="D461" s="67">
        <v>13308</v>
      </c>
      <c r="E461" s="72" t="s">
        <v>634</v>
      </c>
      <c r="F461" s="72" t="s">
        <v>635</v>
      </c>
      <c r="G461" s="55">
        <v>42156</v>
      </c>
      <c r="H461" s="55" t="str">
        <f t="shared" si="588"/>
        <v>9 AÑOS</v>
      </c>
      <c r="I461" s="57">
        <v>3044.9432568214738</v>
      </c>
      <c r="J461" s="57"/>
      <c r="K461" s="57"/>
      <c r="L461" s="74"/>
      <c r="M461" s="171">
        <v>1.24E-3</v>
      </c>
      <c r="N461" s="81">
        <f>I461*0.124</f>
        <v>377.57296384586277</v>
      </c>
      <c r="O461" s="57">
        <f t="shared" si="589"/>
        <v>3422.5162206673367</v>
      </c>
      <c r="P461" s="81">
        <f t="shared" si="590"/>
        <v>6845.0324413346734</v>
      </c>
      <c r="Q461" s="81">
        <f t="shared" si="591"/>
        <v>5133.7743310010046</v>
      </c>
      <c r="R461" s="81">
        <f t="shared" si="592"/>
        <v>1711.2581103336684</v>
      </c>
      <c r="S461" s="81">
        <f t="shared" si="593"/>
        <v>228.16774804448912</v>
      </c>
      <c r="T461" s="57">
        <f t="shared" si="594"/>
        <v>261.91375798026905</v>
      </c>
      <c r="U461" s="81">
        <f t="shared" si="595"/>
        <v>2566.8871655005023</v>
      </c>
      <c r="V461" s="57">
        <f t="shared" si="596"/>
        <v>855.62905516683418</v>
      </c>
      <c r="W461" s="101">
        <v>2.5000000000000001E-2</v>
      </c>
      <c r="X461" s="158">
        <f t="shared" si="597"/>
        <v>171.12581103336686</v>
      </c>
      <c r="Y461" s="81">
        <v>0</v>
      </c>
      <c r="Z461" s="81">
        <v>25.27</v>
      </c>
      <c r="AA461" s="81">
        <f t="shared" si="598"/>
        <v>855.62905516683429</v>
      </c>
      <c r="AB461" s="81">
        <f t="shared" si="599"/>
        <v>171.12581103336683</v>
      </c>
      <c r="AC461" s="81">
        <v>1420.53</v>
      </c>
      <c r="AD461" s="81">
        <v>626.21</v>
      </c>
      <c r="AE461" s="81">
        <v>405.84</v>
      </c>
      <c r="AF461" s="81">
        <v>0</v>
      </c>
      <c r="AG461" s="81">
        <f t="shared" si="600"/>
        <v>236.15361922604623</v>
      </c>
      <c r="AH461" s="64"/>
      <c r="AI461" s="64"/>
      <c r="AJ461" s="67">
        <v>32</v>
      </c>
      <c r="AK461" s="73" t="s">
        <v>66</v>
      </c>
      <c r="AL461" s="67">
        <v>13308</v>
      </c>
      <c r="AM461" s="72" t="s">
        <v>634</v>
      </c>
      <c r="AN461" s="72" t="s">
        <v>635</v>
      </c>
      <c r="AO461" s="138">
        <f t="shared" ref="AO461:AP466" si="627">Q461*10</f>
        <v>51337.743310010046</v>
      </c>
      <c r="AP461" s="65">
        <f t="shared" si="627"/>
        <v>17112.581103336684</v>
      </c>
      <c r="AQ461" s="65">
        <f t="shared" ref="AQ461:AZ466" si="628">X461*10</f>
        <v>1711.2581103336686</v>
      </c>
      <c r="AR461" s="65">
        <f t="shared" si="628"/>
        <v>0</v>
      </c>
      <c r="AS461" s="65">
        <f t="shared" si="628"/>
        <v>252.7</v>
      </c>
      <c r="AT461" s="65">
        <f t="shared" si="628"/>
        <v>8556.2905516683422</v>
      </c>
      <c r="AU461" s="65">
        <f t="shared" si="628"/>
        <v>1711.2581103336684</v>
      </c>
      <c r="AV461" s="65">
        <f t="shared" si="628"/>
        <v>14205.3</v>
      </c>
      <c r="AW461" s="65">
        <f t="shared" si="628"/>
        <v>6262.1</v>
      </c>
      <c r="AX461" s="65">
        <f t="shared" si="628"/>
        <v>4058.3999999999996</v>
      </c>
      <c r="AY461" s="65">
        <f t="shared" si="628"/>
        <v>0</v>
      </c>
      <c r="AZ461" s="65">
        <f t="shared" si="628"/>
        <v>2361.5361922604625</v>
      </c>
      <c r="BB461" s="64"/>
      <c r="BC461" s="66"/>
      <c r="BD461" s="66"/>
      <c r="BE461" s="66"/>
    </row>
    <row r="462" spans="2:57" ht="21" customHeight="1" x14ac:dyDescent="0.2">
      <c r="B462" s="67">
        <v>33</v>
      </c>
      <c r="C462" s="73" t="s">
        <v>66</v>
      </c>
      <c r="D462" s="67">
        <v>13365</v>
      </c>
      <c r="E462" s="73" t="s">
        <v>636</v>
      </c>
      <c r="F462" s="72" t="s">
        <v>637</v>
      </c>
      <c r="G462" s="55">
        <v>43955</v>
      </c>
      <c r="H462" s="55" t="str">
        <f t="shared" si="588"/>
        <v>4 AÑOS</v>
      </c>
      <c r="I462" s="57">
        <v>3050.5989432214737</v>
      </c>
      <c r="J462" s="57"/>
      <c r="K462" s="57"/>
      <c r="L462" s="74"/>
      <c r="M462" s="171">
        <v>1.1900000000000001E-3</v>
      </c>
      <c r="N462" s="81">
        <f>I462*0.121</f>
        <v>369.12247212979833</v>
      </c>
      <c r="O462" s="57">
        <f t="shared" si="589"/>
        <v>3419.7214153512723</v>
      </c>
      <c r="P462" s="81">
        <f t="shared" si="590"/>
        <v>6839.4428307025446</v>
      </c>
      <c r="Q462" s="81">
        <f t="shared" si="591"/>
        <v>5129.5821230269084</v>
      </c>
      <c r="R462" s="81">
        <f t="shared" si="592"/>
        <v>1709.8607076756361</v>
      </c>
      <c r="S462" s="81">
        <f t="shared" si="593"/>
        <v>227.98142769008481</v>
      </c>
      <c r="T462" s="57">
        <f t="shared" si="594"/>
        <v>261.69988084544832</v>
      </c>
      <c r="U462" s="81">
        <f t="shared" si="595"/>
        <v>2564.7910615134542</v>
      </c>
      <c r="V462" s="57">
        <f t="shared" si="596"/>
        <v>854.93035383781807</v>
      </c>
      <c r="W462" s="101">
        <v>0</v>
      </c>
      <c r="X462" s="158">
        <f t="shared" si="597"/>
        <v>0</v>
      </c>
      <c r="Y462" s="81">
        <v>0</v>
      </c>
      <c r="Z462" s="81">
        <v>25.27</v>
      </c>
      <c r="AA462" s="81">
        <f t="shared" si="598"/>
        <v>854.93035383781807</v>
      </c>
      <c r="AB462" s="81">
        <f t="shared" si="599"/>
        <v>170.98607076756363</v>
      </c>
      <c r="AC462" s="81">
        <v>1420.53</v>
      </c>
      <c r="AD462" s="81">
        <v>626.21</v>
      </c>
      <c r="AE462" s="81">
        <v>405.84</v>
      </c>
      <c r="AF462" s="81">
        <v>0</v>
      </c>
      <c r="AG462" s="81">
        <f t="shared" si="600"/>
        <v>235.96077765923778</v>
      </c>
      <c r="AH462" s="64"/>
      <c r="AI462" s="64"/>
      <c r="AJ462" s="67">
        <v>33</v>
      </c>
      <c r="AK462" s="73" t="s">
        <v>66</v>
      </c>
      <c r="AL462" s="67">
        <v>13365</v>
      </c>
      <c r="AM462" s="73" t="s">
        <v>636</v>
      </c>
      <c r="AN462" s="72" t="s">
        <v>637</v>
      </c>
      <c r="AO462" s="138">
        <f t="shared" si="627"/>
        <v>51295.821230269081</v>
      </c>
      <c r="AP462" s="65">
        <f t="shared" si="627"/>
        <v>17098.607076756361</v>
      </c>
      <c r="AQ462" s="65">
        <f t="shared" si="628"/>
        <v>0</v>
      </c>
      <c r="AR462" s="65">
        <f t="shared" si="628"/>
        <v>0</v>
      </c>
      <c r="AS462" s="65">
        <f t="shared" si="628"/>
        <v>252.7</v>
      </c>
      <c r="AT462" s="65">
        <f t="shared" si="628"/>
        <v>8549.3035383781807</v>
      </c>
      <c r="AU462" s="65">
        <f t="shared" si="628"/>
        <v>1709.8607076756364</v>
      </c>
      <c r="AV462" s="65">
        <f t="shared" si="628"/>
        <v>14205.3</v>
      </c>
      <c r="AW462" s="65">
        <f t="shared" si="628"/>
        <v>6262.1</v>
      </c>
      <c r="AX462" s="65">
        <f t="shared" si="628"/>
        <v>4058.3999999999996</v>
      </c>
      <c r="AY462" s="65">
        <f t="shared" si="628"/>
        <v>0</v>
      </c>
      <c r="AZ462" s="65">
        <f t="shared" si="628"/>
        <v>2359.6077765923778</v>
      </c>
      <c r="BB462" s="64"/>
      <c r="BC462" s="66"/>
      <c r="BD462" s="66"/>
      <c r="BE462" s="66"/>
    </row>
    <row r="463" spans="2:57" ht="21" customHeight="1" x14ac:dyDescent="0.2">
      <c r="B463" s="67">
        <v>34</v>
      </c>
      <c r="C463" s="73" t="s">
        <v>66</v>
      </c>
      <c r="D463" s="67">
        <v>13367</v>
      </c>
      <c r="E463" s="73" t="s">
        <v>638</v>
      </c>
      <c r="F463" s="72" t="s">
        <v>637</v>
      </c>
      <c r="G463" s="123">
        <v>43955</v>
      </c>
      <c r="H463" s="56" t="str">
        <f t="shared" si="588"/>
        <v>4 AÑOS</v>
      </c>
      <c r="I463" s="57">
        <v>3050.5989432214737</v>
      </c>
      <c r="J463" s="58"/>
      <c r="K463" s="58"/>
      <c r="L463" s="59"/>
      <c r="M463" s="60">
        <v>1.1900000000000001E-3</v>
      </c>
      <c r="N463" s="61">
        <f>I463*0.121</f>
        <v>369.12247212979833</v>
      </c>
      <c r="O463" s="58">
        <f t="shared" si="589"/>
        <v>3419.7214153512723</v>
      </c>
      <c r="P463" s="61">
        <f t="shared" si="590"/>
        <v>6839.4428307025446</v>
      </c>
      <c r="Q463" s="61">
        <f t="shared" si="591"/>
        <v>5129.5821230269084</v>
      </c>
      <c r="R463" s="61">
        <f t="shared" si="592"/>
        <v>1709.8607076756361</v>
      </c>
      <c r="S463" s="61">
        <f t="shared" si="593"/>
        <v>227.98142769008481</v>
      </c>
      <c r="T463" s="58">
        <f t="shared" si="594"/>
        <v>261.69988084544832</v>
      </c>
      <c r="U463" s="61">
        <f t="shared" si="595"/>
        <v>2564.7910615134542</v>
      </c>
      <c r="V463" s="58">
        <f t="shared" si="596"/>
        <v>854.93035383781807</v>
      </c>
      <c r="W463" s="101">
        <v>0</v>
      </c>
      <c r="X463" s="63">
        <f t="shared" si="597"/>
        <v>0</v>
      </c>
      <c r="Y463" s="61">
        <v>0</v>
      </c>
      <c r="Z463" s="61">
        <v>25.27</v>
      </c>
      <c r="AA463" s="61">
        <f t="shared" si="598"/>
        <v>854.93035383781807</v>
      </c>
      <c r="AB463" s="61">
        <f t="shared" si="599"/>
        <v>170.98607076756363</v>
      </c>
      <c r="AC463" s="61">
        <v>1420.53</v>
      </c>
      <c r="AD463" s="61">
        <v>626.21</v>
      </c>
      <c r="AE463" s="61">
        <v>405.84</v>
      </c>
      <c r="AF463" s="61">
        <v>0</v>
      </c>
      <c r="AG463" s="61">
        <f t="shared" si="600"/>
        <v>235.96077765923778</v>
      </c>
      <c r="AH463" s="64"/>
      <c r="AI463" s="64"/>
      <c r="AJ463" s="67">
        <v>34</v>
      </c>
      <c r="AK463" s="73" t="s">
        <v>66</v>
      </c>
      <c r="AL463" s="67">
        <v>13367</v>
      </c>
      <c r="AM463" s="73" t="s">
        <v>638</v>
      </c>
      <c r="AN463" s="72" t="s">
        <v>637</v>
      </c>
      <c r="AO463" s="138">
        <f t="shared" si="627"/>
        <v>51295.821230269081</v>
      </c>
      <c r="AP463" s="65">
        <f t="shared" si="627"/>
        <v>17098.607076756361</v>
      </c>
      <c r="AQ463" s="65">
        <f t="shared" si="628"/>
        <v>0</v>
      </c>
      <c r="AR463" s="65">
        <f t="shared" si="628"/>
        <v>0</v>
      </c>
      <c r="AS463" s="65">
        <f t="shared" si="628"/>
        <v>252.7</v>
      </c>
      <c r="AT463" s="65">
        <f t="shared" si="628"/>
        <v>8549.3035383781807</v>
      </c>
      <c r="AU463" s="65">
        <f t="shared" si="628"/>
        <v>1709.8607076756364</v>
      </c>
      <c r="AV463" s="65">
        <f t="shared" si="628"/>
        <v>14205.3</v>
      </c>
      <c r="AW463" s="65">
        <f t="shared" si="628"/>
        <v>6262.1</v>
      </c>
      <c r="AX463" s="65">
        <f t="shared" si="628"/>
        <v>4058.3999999999996</v>
      </c>
      <c r="AY463" s="65">
        <f t="shared" si="628"/>
        <v>0</v>
      </c>
      <c r="AZ463" s="65">
        <f t="shared" si="628"/>
        <v>2359.6077765923778</v>
      </c>
      <c r="BB463" s="64"/>
      <c r="BC463" s="66"/>
      <c r="BD463" s="66"/>
      <c r="BE463" s="66"/>
    </row>
    <row r="464" spans="2:57" ht="21" customHeight="1" x14ac:dyDescent="0.2">
      <c r="B464" s="67">
        <v>35</v>
      </c>
      <c r="C464" s="73" t="s">
        <v>66</v>
      </c>
      <c r="D464" s="67">
        <v>13298</v>
      </c>
      <c r="E464" s="72" t="s">
        <v>639</v>
      </c>
      <c r="F464" s="72" t="s">
        <v>640</v>
      </c>
      <c r="G464" s="123">
        <v>42156</v>
      </c>
      <c r="H464" s="56" t="str">
        <f t="shared" si="588"/>
        <v>9 AÑOS</v>
      </c>
      <c r="I464" s="57">
        <v>3044.9432568214738</v>
      </c>
      <c r="J464" s="58"/>
      <c r="K464" s="58"/>
      <c r="L464" s="59"/>
      <c r="M464" s="60">
        <v>1.24E-3</v>
      </c>
      <c r="N464" s="61">
        <f t="shared" ref="N464:N472" si="629">I464*0.124</f>
        <v>377.57296384586277</v>
      </c>
      <c r="O464" s="58">
        <f t="shared" si="589"/>
        <v>3422.5162206673367</v>
      </c>
      <c r="P464" s="61">
        <f t="shared" si="590"/>
        <v>6845.0324413346734</v>
      </c>
      <c r="Q464" s="61">
        <f t="shared" si="591"/>
        <v>5133.7743310010046</v>
      </c>
      <c r="R464" s="61">
        <f t="shared" si="592"/>
        <v>1711.2581103336684</v>
      </c>
      <c r="S464" s="61">
        <f t="shared" si="593"/>
        <v>228.16774804448912</v>
      </c>
      <c r="T464" s="58">
        <f t="shared" si="594"/>
        <v>261.91375798026905</v>
      </c>
      <c r="U464" s="61">
        <f t="shared" si="595"/>
        <v>2566.8871655005023</v>
      </c>
      <c r="V464" s="58">
        <f t="shared" si="596"/>
        <v>855.62905516683418</v>
      </c>
      <c r="W464" s="101">
        <v>2.5000000000000001E-2</v>
      </c>
      <c r="X464" s="63">
        <f t="shared" si="597"/>
        <v>171.12581103336686</v>
      </c>
      <c r="Y464" s="61">
        <v>0</v>
      </c>
      <c r="Z464" s="61">
        <v>25.27</v>
      </c>
      <c r="AA464" s="61">
        <f t="shared" si="598"/>
        <v>855.62905516683429</v>
      </c>
      <c r="AB464" s="61">
        <f t="shared" si="599"/>
        <v>171.12581103336683</v>
      </c>
      <c r="AC464" s="61">
        <v>1420.53</v>
      </c>
      <c r="AD464" s="61">
        <v>626.21</v>
      </c>
      <c r="AE464" s="61">
        <v>405.84</v>
      </c>
      <c r="AF464" s="61">
        <v>0</v>
      </c>
      <c r="AG464" s="61">
        <f t="shared" si="600"/>
        <v>236.15361922604623</v>
      </c>
      <c r="AH464" s="64"/>
      <c r="AI464" s="64"/>
      <c r="AJ464" s="67">
        <v>35</v>
      </c>
      <c r="AK464" s="73" t="s">
        <v>66</v>
      </c>
      <c r="AL464" s="67">
        <v>13298</v>
      </c>
      <c r="AM464" s="72" t="s">
        <v>639</v>
      </c>
      <c r="AN464" s="72" t="s">
        <v>640</v>
      </c>
      <c r="AO464" s="138">
        <f t="shared" si="627"/>
        <v>51337.743310010046</v>
      </c>
      <c r="AP464" s="65">
        <f t="shared" si="627"/>
        <v>17112.581103336684</v>
      </c>
      <c r="AQ464" s="65">
        <f t="shared" si="628"/>
        <v>1711.2581103336686</v>
      </c>
      <c r="AR464" s="65">
        <f t="shared" si="628"/>
        <v>0</v>
      </c>
      <c r="AS464" s="65">
        <f t="shared" si="628"/>
        <v>252.7</v>
      </c>
      <c r="AT464" s="65">
        <f t="shared" si="628"/>
        <v>8556.2905516683422</v>
      </c>
      <c r="AU464" s="65">
        <f t="shared" si="628"/>
        <v>1711.2581103336684</v>
      </c>
      <c r="AV464" s="65">
        <f t="shared" si="628"/>
        <v>14205.3</v>
      </c>
      <c r="AW464" s="65">
        <f t="shared" si="628"/>
        <v>6262.1</v>
      </c>
      <c r="AX464" s="65">
        <f t="shared" si="628"/>
        <v>4058.3999999999996</v>
      </c>
      <c r="AY464" s="65">
        <f t="shared" si="628"/>
        <v>0</v>
      </c>
      <c r="AZ464" s="65">
        <f t="shared" si="628"/>
        <v>2361.5361922604625</v>
      </c>
      <c r="BB464" s="64"/>
      <c r="BC464" s="66"/>
      <c r="BD464" s="66"/>
      <c r="BE464" s="66"/>
    </row>
    <row r="465" spans="2:57" ht="21" customHeight="1" x14ac:dyDescent="0.2">
      <c r="B465" s="67">
        <v>36</v>
      </c>
      <c r="C465" s="73" t="s">
        <v>66</v>
      </c>
      <c r="D465" s="67">
        <v>13300</v>
      </c>
      <c r="E465" s="72" t="s">
        <v>641</v>
      </c>
      <c r="F465" s="72" t="s">
        <v>640</v>
      </c>
      <c r="G465" s="123">
        <v>42156</v>
      </c>
      <c r="H465" s="56" t="str">
        <f t="shared" si="588"/>
        <v>9 AÑOS</v>
      </c>
      <c r="I465" s="57">
        <v>3044.9432568214738</v>
      </c>
      <c r="J465" s="58"/>
      <c r="K465" s="58"/>
      <c r="L465" s="59"/>
      <c r="M465" s="60">
        <v>1.24E-3</v>
      </c>
      <c r="N465" s="61">
        <f t="shared" si="629"/>
        <v>377.57296384586277</v>
      </c>
      <c r="O465" s="58">
        <f t="shared" si="589"/>
        <v>3422.5162206673367</v>
      </c>
      <c r="P465" s="61">
        <f t="shared" si="590"/>
        <v>6845.0324413346734</v>
      </c>
      <c r="Q465" s="61">
        <f t="shared" si="591"/>
        <v>5133.7743310010046</v>
      </c>
      <c r="R465" s="61">
        <f t="shared" si="592"/>
        <v>1711.2581103336684</v>
      </c>
      <c r="S465" s="61">
        <f t="shared" si="593"/>
        <v>228.16774804448912</v>
      </c>
      <c r="T465" s="58">
        <f t="shared" si="594"/>
        <v>261.91375798026905</v>
      </c>
      <c r="U465" s="61">
        <f t="shared" si="595"/>
        <v>2566.8871655005023</v>
      </c>
      <c r="V465" s="58">
        <f t="shared" si="596"/>
        <v>855.62905516683418</v>
      </c>
      <c r="W465" s="101">
        <v>2.5000000000000001E-2</v>
      </c>
      <c r="X465" s="63">
        <f t="shared" si="597"/>
        <v>171.12581103336686</v>
      </c>
      <c r="Y465" s="61">
        <v>0</v>
      </c>
      <c r="Z465" s="61">
        <v>25.27</v>
      </c>
      <c r="AA465" s="61">
        <f t="shared" si="598"/>
        <v>855.62905516683429</v>
      </c>
      <c r="AB465" s="61">
        <f t="shared" si="599"/>
        <v>171.12581103336683</v>
      </c>
      <c r="AC465" s="61">
        <v>1420.53</v>
      </c>
      <c r="AD465" s="61">
        <v>626.21</v>
      </c>
      <c r="AE465" s="61">
        <v>405.84</v>
      </c>
      <c r="AF465" s="61">
        <v>0</v>
      </c>
      <c r="AG465" s="61">
        <f t="shared" si="600"/>
        <v>236.15361922604623</v>
      </c>
      <c r="AH465" s="64"/>
      <c r="AI465" s="64"/>
      <c r="AJ465" s="67">
        <v>36</v>
      </c>
      <c r="AK465" s="73" t="s">
        <v>66</v>
      </c>
      <c r="AL465" s="67">
        <v>13300</v>
      </c>
      <c r="AM465" s="72" t="s">
        <v>641</v>
      </c>
      <c r="AN465" s="72" t="s">
        <v>640</v>
      </c>
      <c r="AO465" s="138">
        <f t="shared" si="627"/>
        <v>51337.743310010046</v>
      </c>
      <c r="AP465" s="65">
        <f t="shared" si="627"/>
        <v>17112.581103336684</v>
      </c>
      <c r="AQ465" s="65">
        <f t="shared" si="628"/>
        <v>1711.2581103336686</v>
      </c>
      <c r="AR465" s="65">
        <f t="shared" si="628"/>
        <v>0</v>
      </c>
      <c r="AS465" s="65">
        <f t="shared" si="628"/>
        <v>252.7</v>
      </c>
      <c r="AT465" s="65">
        <f t="shared" si="628"/>
        <v>8556.2905516683422</v>
      </c>
      <c r="AU465" s="65">
        <f t="shared" si="628"/>
        <v>1711.2581103336684</v>
      </c>
      <c r="AV465" s="65">
        <f t="shared" si="628"/>
        <v>14205.3</v>
      </c>
      <c r="AW465" s="65">
        <f t="shared" si="628"/>
        <v>6262.1</v>
      </c>
      <c r="AX465" s="65">
        <f t="shared" si="628"/>
        <v>4058.3999999999996</v>
      </c>
      <c r="AY465" s="65">
        <f t="shared" si="628"/>
        <v>0</v>
      </c>
      <c r="AZ465" s="65">
        <f t="shared" si="628"/>
        <v>2361.5361922604625</v>
      </c>
      <c r="BB465" s="64"/>
      <c r="BC465" s="66"/>
      <c r="BD465" s="66"/>
      <c r="BE465" s="66"/>
    </row>
    <row r="466" spans="2:57" ht="21" customHeight="1" x14ac:dyDescent="0.2">
      <c r="B466" s="67">
        <v>37</v>
      </c>
      <c r="C466" s="73" t="s">
        <v>66</v>
      </c>
      <c r="D466" s="67">
        <v>13303</v>
      </c>
      <c r="E466" s="72" t="s">
        <v>642</v>
      </c>
      <c r="F466" s="72" t="s">
        <v>640</v>
      </c>
      <c r="G466" s="123">
        <v>42156</v>
      </c>
      <c r="H466" s="56" t="str">
        <f t="shared" si="588"/>
        <v>9 AÑOS</v>
      </c>
      <c r="I466" s="57">
        <v>3044.9432568214738</v>
      </c>
      <c r="J466" s="58"/>
      <c r="K466" s="58"/>
      <c r="L466" s="59"/>
      <c r="M466" s="60">
        <v>1.24E-3</v>
      </c>
      <c r="N466" s="61">
        <f t="shared" si="629"/>
        <v>377.57296384586277</v>
      </c>
      <c r="O466" s="58">
        <f t="shared" si="589"/>
        <v>3422.5162206673367</v>
      </c>
      <c r="P466" s="61">
        <f t="shared" si="590"/>
        <v>6845.0324413346734</v>
      </c>
      <c r="Q466" s="61">
        <f t="shared" si="591"/>
        <v>5133.7743310010046</v>
      </c>
      <c r="R466" s="61">
        <f t="shared" si="592"/>
        <v>1711.2581103336684</v>
      </c>
      <c r="S466" s="61">
        <f t="shared" si="593"/>
        <v>228.16774804448912</v>
      </c>
      <c r="T466" s="58">
        <f t="shared" si="594"/>
        <v>261.91375798026905</v>
      </c>
      <c r="U466" s="61">
        <f t="shared" si="595"/>
        <v>2566.8871655005023</v>
      </c>
      <c r="V466" s="58">
        <f t="shared" si="596"/>
        <v>855.62905516683418</v>
      </c>
      <c r="W466" s="101">
        <v>2.5000000000000001E-2</v>
      </c>
      <c r="X466" s="63">
        <f t="shared" si="597"/>
        <v>171.12581103336686</v>
      </c>
      <c r="Y466" s="61">
        <v>0</v>
      </c>
      <c r="Z466" s="61">
        <v>25.27</v>
      </c>
      <c r="AA466" s="61">
        <f t="shared" si="598"/>
        <v>855.62905516683429</v>
      </c>
      <c r="AB466" s="61">
        <f t="shared" si="599"/>
        <v>171.12581103336683</v>
      </c>
      <c r="AC466" s="61">
        <v>1420.53</v>
      </c>
      <c r="AD466" s="61">
        <v>626.21</v>
      </c>
      <c r="AE466" s="61">
        <v>405.84</v>
      </c>
      <c r="AF466" s="61">
        <v>0</v>
      </c>
      <c r="AG466" s="61">
        <f t="shared" si="600"/>
        <v>236.15361922604623</v>
      </c>
      <c r="AH466" s="64"/>
      <c r="AI466" s="64"/>
      <c r="AJ466" s="67">
        <v>37</v>
      </c>
      <c r="AK466" s="73" t="s">
        <v>66</v>
      </c>
      <c r="AL466" s="67">
        <v>13303</v>
      </c>
      <c r="AM466" s="72" t="s">
        <v>642</v>
      </c>
      <c r="AN466" s="72" t="s">
        <v>640</v>
      </c>
      <c r="AO466" s="138">
        <f t="shared" si="627"/>
        <v>51337.743310010046</v>
      </c>
      <c r="AP466" s="65">
        <f t="shared" si="627"/>
        <v>17112.581103336684</v>
      </c>
      <c r="AQ466" s="65">
        <f t="shared" si="628"/>
        <v>1711.2581103336686</v>
      </c>
      <c r="AR466" s="65">
        <f t="shared" si="628"/>
        <v>0</v>
      </c>
      <c r="AS466" s="65">
        <f t="shared" si="628"/>
        <v>252.7</v>
      </c>
      <c r="AT466" s="65">
        <f t="shared" si="628"/>
        <v>8556.2905516683422</v>
      </c>
      <c r="AU466" s="65">
        <f t="shared" si="628"/>
        <v>1711.2581103336684</v>
      </c>
      <c r="AV466" s="65">
        <f t="shared" si="628"/>
        <v>14205.3</v>
      </c>
      <c r="AW466" s="65">
        <f t="shared" si="628"/>
        <v>6262.1</v>
      </c>
      <c r="AX466" s="65">
        <f t="shared" si="628"/>
        <v>4058.3999999999996</v>
      </c>
      <c r="AY466" s="65">
        <f t="shared" si="628"/>
        <v>0</v>
      </c>
      <c r="AZ466" s="65">
        <f t="shared" si="628"/>
        <v>2361.5361922604625</v>
      </c>
      <c r="BB466" s="64"/>
      <c r="BC466" s="66"/>
      <c r="BD466" s="66"/>
      <c r="BE466" s="66"/>
    </row>
    <row r="467" spans="2:57" s="364" customFormat="1" ht="21" customHeight="1" x14ac:dyDescent="0.2">
      <c r="B467" s="365">
        <v>38</v>
      </c>
      <c r="C467" s="372" t="s">
        <v>66</v>
      </c>
      <c r="D467" s="365"/>
      <c r="E467" s="411" t="s">
        <v>55</v>
      </c>
      <c r="F467" s="371" t="s">
        <v>640</v>
      </c>
      <c r="G467" s="363"/>
      <c r="H467" s="56"/>
      <c r="I467" s="57">
        <v>3044.9432568214738</v>
      </c>
      <c r="J467" s="58"/>
      <c r="K467" s="58"/>
      <c r="L467" s="59"/>
      <c r="M467" s="60">
        <v>1.24E-3</v>
      </c>
      <c r="N467" s="61">
        <f t="shared" si="629"/>
        <v>377.57296384586277</v>
      </c>
      <c r="O467" s="58">
        <f t="shared" si="589"/>
        <v>3422.5162206673367</v>
      </c>
      <c r="P467" s="61">
        <f t="shared" si="590"/>
        <v>6845.0324413346734</v>
      </c>
      <c r="Q467" s="61">
        <f t="shared" si="591"/>
        <v>5133.7743310010046</v>
      </c>
      <c r="R467" s="61">
        <f t="shared" si="592"/>
        <v>1711.2581103336684</v>
      </c>
      <c r="S467" s="61">
        <f t="shared" si="593"/>
        <v>228.16774804448912</v>
      </c>
      <c r="T467" s="58">
        <f t="shared" si="594"/>
        <v>261.91375798026905</v>
      </c>
      <c r="U467" s="61">
        <f t="shared" si="595"/>
        <v>2566.8871655005023</v>
      </c>
      <c r="V467" s="58">
        <f t="shared" si="596"/>
        <v>855.62905516683418</v>
      </c>
      <c r="W467" s="101">
        <v>2.5000000000000001E-2</v>
      </c>
      <c r="X467" s="63">
        <f t="shared" si="597"/>
        <v>171.12581103336686</v>
      </c>
      <c r="Y467" s="61">
        <v>0</v>
      </c>
      <c r="Z467" s="61">
        <v>25.27</v>
      </c>
      <c r="AA467" s="61">
        <f t="shared" si="598"/>
        <v>855.62905516683429</v>
      </c>
      <c r="AB467" s="61">
        <f t="shared" si="599"/>
        <v>171.12581103336683</v>
      </c>
      <c r="AC467" s="61">
        <v>1420.53</v>
      </c>
      <c r="AD467" s="61">
        <v>626.21</v>
      </c>
      <c r="AE467" s="61">
        <v>405.84</v>
      </c>
      <c r="AF467" s="61">
        <v>0</v>
      </c>
      <c r="AG467" s="61">
        <f t="shared" si="600"/>
        <v>236.15361922604623</v>
      </c>
      <c r="AH467" s="64"/>
      <c r="AI467" s="64"/>
      <c r="AJ467" s="365">
        <v>38</v>
      </c>
      <c r="AK467" s="372" t="s">
        <v>66</v>
      </c>
      <c r="AL467" s="365"/>
      <c r="AM467" s="411" t="s">
        <v>55</v>
      </c>
      <c r="AN467" s="371" t="s">
        <v>640</v>
      </c>
      <c r="AO467" s="401">
        <f t="shared" ref="AO467:AP468" si="630">Q467*7.5</f>
        <v>38503.307482507531</v>
      </c>
      <c r="AP467" s="368">
        <f t="shared" si="630"/>
        <v>12834.435827502513</v>
      </c>
      <c r="AQ467" s="368">
        <f t="shared" ref="AQ467:AZ468" si="631">X467*7.5</f>
        <v>1283.4435827502514</v>
      </c>
      <c r="AR467" s="368">
        <f t="shared" si="631"/>
        <v>0</v>
      </c>
      <c r="AS467" s="368">
        <f t="shared" si="631"/>
        <v>189.52500000000001</v>
      </c>
      <c r="AT467" s="368">
        <f t="shared" si="631"/>
        <v>6417.2179137512576</v>
      </c>
      <c r="AU467" s="368">
        <f t="shared" si="631"/>
        <v>1283.4435827502512</v>
      </c>
      <c r="AV467" s="368">
        <f t="shared" si="631"/>
        <v>10653.975</v>
      </c>
      <c r="AW467" s="368">
        <f t="shared" si="631"/>
        <v>4696.5750000000007</v>
      </c>
      <c r="AX467" s="368">
        <f t="shared" si="631"/>
        <v>3043.7999999999997</v>
      </c>
      <c r="AY467" s="368">
        <f t="shared" si="631"/>
        <v>0</v>
      </c>
      <c r="AZ467" s="368">
        <f t="shared" si="631"/>
        <v>1771.1521441953466</v>
      </c>
      <c r="BB467" s="64"/>
      <c r="BC467" s="66"/>
      <c r="BD467" s="66"/>
      <c r="BE467" s="66"/>
    </row>
    <row r="468" spans="2:57" s="364" customFormat="1" ht="21" customHeight="1" x14ac:dyDescent="0.2">
      <c r="B468" s="365">
        <v>39</v>
      </c>
      <c r="C468" s="372" t="s">
        <v>66</v>
      </c>
      <c r="D468" s="369"/>
      <c r="E468" s="375" t="s">
        <v>55</v>
      </c>
      <c r="F468" s="371" t="s">
        <v>640</v>
      </c>
      <c r="H468" s="56" t="str">
        <f xml:space="preserve"> CONCATENATE(DATEDIF(G522,H$5,"Y")," AÑOS")</f>
        <v>1 AÑOS</v>
      </c>
      <c r="I468" s="57">
        <v>3044.9432568214738</v>
      </c>
      <c r="J468" s="58"/>
      <c r="K468" s="58"/>
      <c r="L468" s="59"/>
      <c r="M468" s="60">
        <v>1.24E-3</v>
      </c>
      <c r="N468" s="61">
        <f t="shared" si="629"/>
        <v>377.57296384586277</v>
      </c>
      <c r="O468" s="58">
        <f t="shared" si="589"/>
        <v>3422.5162206673367</v>
      </c>
      <c r="P468" s="61">
        <f t="shared" si="590"/>
        <v>6845.0324413346734</v>
      </c>
      <c r="Q468" s="61">
        <f t="shared" si="591"/>
        <v>5133.7743310010046</v>
      </c>
      <c r="R468" s="61">
        <f t="shared" si="592"/>
        <v>1711.2581103336684</v>
      </c>
      <c r="S468" s="61">
        <f t="shared" si="593"/>
        <v>228.16774804448912</v>
      </c>
      <c r="T468" s="58">
        <f t="shared" si="594"/>
        <v>261.91375798026905</v>
      </c>
      <c r="U468" s="61">
        <f t="shared" si="595"/>
        <v>2566.8871655005023</v>
      </c>
      <c r="V468" s="58">
        <f t="shared" si="596"/>
        <v>855.62905516683418</v>
      </c>
      <c r="W468" s="101">
        <v>2.5000000000000001E-2</v>
      </c>
      <c r="X468" s="63">
        <f t="shared" si="597"/>
        <v>171.12581103336686</v>
      </c>
      <c r="Y468" s="61">
        <v>0</v>
      </c>
      <c r="Z468" s="61">
        <v>25.27</v>
      </c>
      <c r="AA468" s="61">
        <f t="shared" si="598"/>
        <v>855.62905516683429</v>
      </c>
      <c r="AB468" s="61">
        <f t="shared" si="599"/>
        <v>171.12581103336683</v>
      </c>
      <c r="AC468" s="61">
        <v>1420.53</v>
      </c>
      <c r="AD468" s="61">
        <v>626.21</v>
      </c>
      <c r="AE468" s="61">
        <v>405.84</v>
      </c>
      <c r="AF468" s="61">
        <v>0</v>
      </c>
      <c r="AG468" s="61">
        <f t="shared" si="600"/>
        <v>236.15361922604623</v>
      </c>
      <c r="AH468" s="64"/>
      <c r="AI468" s="64"/>
      <c r="AJ468" s="365">
        <v>39</v>
      </c>
      <c r="AK468" s="372" t="s">
        <v>66</v>
      </c>
      <c r="AL468" s="369"/>
      <c r="AM468" s="375" t="s">
        <v>55</v>
      </c>
      <c r="AN468" s="371" t="s">
        <v>640</v>
      </c>
      <c r="AO468" s="401">
        <f t="shared" si="630"/>
        <v>38503.307482507531</v>
      </c>
      <c r="AP468" s="368">
        <f t="shared" si="630"/>
        <v>12834.435827502513</v>
      </c>
      <c r="AQ468" s="368">
        <f t="shared" si="631"/>
        <v>1283.4435827502514</v>
      </c>
      <c r="AR468" s="368">
        <f t="shared" si="631"/>
        <v>0</v>
      </c>
      <c r="AS468" s="368">
        <f t="shared" si="631"/>
        <v>189.52500000000001</v>
      </c>
      <c r="AT468" s="368">
        <f t="shared" si="631"/>
        <v>6417.2179137512576</v>
      </c>
      <c r="AU468" s="368">
        <f t="shared" si="631"/>
        <v>1283.4435827502512</v>
      </c>
      <c r="AV468" s="368">
        <f t="shared" si="631"/>
        <v>10653.975</v>
      </c>
      <c r="AW468" s="368">
        <f t="shared" si="631"/>
        <v>4696.5750000000007</v>
      </c>
      <c r="AX468" s="368">
        <f t="shared" si="631"/>
        <v>3043.7999999999997</v>
      </c>
      <c r="AY468" s="368">
        <f t="shared" si="631"/>
        <v>0</v>
      </c>
      <c r="AZ468" s="368">
        <f t="shared" si="631"/>
        <v>1771.1521441953466</v>
      </c>
      <c r="BB468" s="64"/>
      <c r="BC468" s="66"/>
      <c r="BD468" s="66"/>
      <c r="BE468" s="66"/>
    </row>
    <row r="469" spans="2:57" ht="21" customHeight="1" x14ac:dyDescent="0.2">
      <c r="B469" s="67">
        <v>40</v>
      </c>
      <c r="C469" s="73" t="s">
        <v>66</v>
      </c>
      <c r="D469" s="67">
        <v>13311</v>
      </c>
      <c r="E469" s="72" t="s">
        <v>643</v>
      </c>
      <c r="F469" s="72" t="s">
        <v>640</v>
      </c>
      <c r="G469" s="123">
        <v>42156</v>
      </c>
      <c r="H469" s="56" t="str">
        <f t="shared" si="588"/>
        <v>9 AÑOS</v>
      </c>
      <c r="I469" s="57">
        <v>3044.9432568214738</v>
      </c>
      <c r="J469" s="58"/>
      <c r="K469" s="58"/>
      <c r="L469" s="59"/>
      <c r="M469" s="60">
        <v>1.24E-3</v>
      </c>
      <c r="N469" s="61">
        <f t="shared" si="629"/>
        <v>377.57296384586277</v>
      </c>
      <c r="O469" s="58">
        <f t="shared" si="589"/>
        <v>3422.5162206673367</v>
      </c>
      <c r="P469" s="61">
        <f t="shared" si="590"/>
        <v>6845.0324413346734</v>
      </c>
      <c r="Q469" s="61">
        <f t="shared" si="591"/>
        <v>5133.7743310010046</v>
      </c>
      <c r="R469" s="61">
        <f t="shared" si="592"/>
        <v>1711.2581103336684</v>
      </c>
      <c r="S469" s="61">
        <f t="shared" si="593"/>
        <v>228.16774804448912</v>
      </c>
      <c r="T469" s="58">
        <f t="shared" si="594"/>
        <v>261.91375798026905</v>
      </c>
      <c r="U469" s="61">
        <f t="shared" si="595"/>
        <v>2566.8871655005023</v>
      </c>
      <c r="V469" s="58">
        <f t="shared" si="596"/>
        <v>855.62905516683418</v>
      </c>
      <c r="W469" s="101">
        <v>2.5000000000000001E-2</v>
      </c>
      <c r="X469" s="63">
        <f t="shared" si="597"/>
        <v>171.12581103336686</v>
      </c>
      <c r="Y469" s="61">
        <v>0</v>
      </c>
      <c r="Z469" s="61">
        <v>25.27</v>
      </c>
      <c r="AA469" s="61">
        <f t="shared" si="598"/>
        <v>855.62905516683429</v>
      </c>
      <c r="AB469" s="61">
        <f t="shared" si="599"/>
        <v>171.12581103336683</v>
      </c>
      <c r="AC469" s="61">
        <v>1420.53</v>
      </c>
      <c r="AD469" s="61">
        <v>626.21</v>
      </c>
      <c r="AE469" s="61">
        <v>405.84</v>
      </c>
      <c r="AF469" s="61">
        <v>0</v>
      </c>
      <c r="AG469" s="61">
        <f t="shared" si="600"/>
        <v>236.15361922604623</v>
      </c>
      <c r="AH469" s="64"/>
      <c r="AI469" s="64"/>
      <c r="AJ469" s="67">
        <v>40</v>
      </c>
      <c r="AK469" s="73" t="s">
        <v>66</v>
      </c>
      <c r="AL469" s="67">
        <v>13311</v>
      </c>
      <c r="AM469" s="72" t="s">
        <v>643</v>
      </c>
      <c r="AN469" s="72" t="s">
        <v>640</v>
      </c>
      <c r="AO469" s="138">
        <f t="shared" ref="AO469:AP472" si="632">Q469*10</f>
        <v>51337.743310010046</v>
      </c>
      <c r="AP469" s="65">
        <f t="shared" si="632"/>
        <v>17112.581103336684</v>
      </c>
      <c r="AQ469" s="65">
        <f t="shared" ref="AQ469:AZ472" si="633">X469*10</f>
        <v>1711.2581103336686</v>
      </c>
      <c r="AR469" s="65">
        <f t="shared" si="633"/>
        <v>0</v>
      </c>
      <c r="AS469" s="65">
        <f t="shared" si="633"/>
        <v>252.7</v>
      </c>
      <c r="AT469" s="65">
        <f t="shared" si="633"/>
        <v>8556.2905516683422</v>
      </c>
      <c r="AU469" s="65">
        <f t="shared" si="633"/>
        <v>1711.2581103336684</v>
      </c>
      <c r="AV469" s="65">
        <f t="shared" si="633"/>
        <v>14205.3</v>
      </c>
      <c r="AW469" s="65">
        <f t="shared" si="633"/>
        <v>6262.1</v>
      </c>
      <c r="AX469" s="65">
        <f t="shared" si="633"/>
        <v>4058.3999999999996</v>
      </c>
      <c r="AY469" s="65">
        <f t="shared" si="633"/>
        <v>0</v>
      </c>
      <c r="AZ469" s="65">
        <f t="shared" si="633"/>
        <v>2361.5361922604625</v>
      </c>
      <c r="BB469" s="64"/>
      <c r="BC469" s="66"/>
      <c r="BD469" s="66"/>
      <c r="BE469" s="66"/>
    </row>
    <row r="470" spans="2:57" ht="21" customHeight="1" x14ac:dyDescent="0.2">
      <c r="B470" s="67">
        <v>41</v>
      </c>
      <c r="C470" s="73" t="s">
        <v>66</v>
      </c>
      <c r="D470" s="67">
        <v>13316</v>
      </c>
      <c r="E470" s="72" t="s">
        <v>644</v>
      </c>
      <c r="F470" s="72" t="s">
        <v>640</v>
      </c>
      <c r="G470" s="123">
        <v>42156</v>
      </c>
      <c r="H470" s="56" t="str">
        <f t="shared" si="588"/>
        <v>9 AÑOS</v>
      </c>
      <c r="I470" s="57">
        <v>3044.9432568214738</v>
      </c>
      <c r="J470" s="58"/>
      <c r="K470" s="58"/>
      <c r="L470" s="59"/>
      <c r="M470" s="60">
        <v>1.24E-3</v>
      </c>
      <c r="N470" s="61">
        <f t="shared" si="629"/>
        <v>377.57296384586277</v>
      </c>
      <c r="O470" s="58">
        <f t="shared" si="589"/>
        <v>3422.5162206673367</v>
      </c>
      <c r="P470" s="61">
        <f t="shared" si="590"/>
        <v>6845.0324413346734</v>
      </c>
      <c r="Q470" s="61">
        <f t="shared" si="591"/>
        <v>5133.7743310010046</v>
      </c>
      <c r="R470" s="61">
        <f t="shared" si="592"/>
        <v>1711.2581103336684</v>
      </c>
      <c r="S470" s="61">
        <f t="shared" si="593"/>
        <v>228.16774804448912</v>
      </c>
      <c r="T470" s="58">
        <f t="shared" si="594"/>
        <v>261.91375798026905</v>
      </c>
      <c r="U470" s="61">
        <f t="shared" si="595"/>
        <v>2566.8871655005023</v>
      </c>
      <c r="V470" s="58">
        <f t="shared" si="596"/>
        <v>855.62905516683418</v>
      </c>
      <c r="W470" s="101">
        <v>2.5000000000000001E-2</v>
      </c>
      <c r="X470" s="63">
        <f t="shared" si="597"/>
        <v>171.12581103336686</v>
      </c>
      <c r="Y470" s="61">
        <v>0</v>
      </c>
      <c r="Z470" s="61">
        <v>25.27</v>
      </c>
      <c r="AA470" s="61">
        <f t="shared" si="598"/>
        <v>855.62905516683429</v>
      </c>
      <c r="AB470" s="61">
        <f t="shared" si="599"/>
        <v>171.12581103336683</v>
      </c>
      <c r="AC470" s="61">
        <v>1420.53</v>
      </c>
      <c r="AD470" s="61">
        <v>626.21</v>
      </c>
      <c r="AE470" s="61">
        <v>405.84</v>
      </c>
      <c r="AF470" s="61">
        <v>0</v>
      </c>
      <c r="AG470" s="61">
        <f t="shared" si="600"/>
        <v>236.15361922604623</v>
      </c>
      <c r="AH470" s="64"/>
      <c r="AI470" s="64"/>
      <c r="AJ470" s="67">
        <v>41</v>
      </c>
      <c r="AK470" s="73" t="s">
        <v>66</v>
      </c>
      <c r="AL470" s="67">
        <v>13316</v>
      </c>
      <c r="AM470" s="72" t="s">
        <v>644</v>
      </c>
      <c r="AN470" s="72" t="s">
        <v>640</v>
      </c>
      <c r="AO470" s="138">
        <f t="shared" si="632"/>
        <v>51337.743310010046</v>
      </c>
      <c r="AP470" s="65">
        <f t="shared" si="632"/>
        <v>17112.581103336684</v>
      </c>
      <c r="AQ470" s="65">
        <f t="shared" si="633"/>
        <v>1711.2581103336686</v>
      </c>
      <c r="AR470" s="65">
        <f t="shared" si="633"/>
        <v>0</v>
      </c>
      <c r="AS470" s="65">
        <f t="shared" si="633"/>
        <v>252.7</v>
      </c>
      <c r="AT470" s="65">
        <f t="shared" si="633"/>
        <v>8556.2905516683422</v>
      </c>
      <c r="AU470" s="65">
        <f t="shared" si="633"/>
        <v>1711.2581103336684</v>
      </c>
      <c r="AV470" s="65">
        <f t="shared" si="633"/>
        <v>14205.3</v>
      </c>
      <c r="AW470" s="65">
        <f t="shared" si="633"/>
        <v>6262.1</v>
      </c>
      <c r="AX470" s="65">
        <f t="shared" si="633"/>
        <v>4058.3999999999996</v>
      </c>
      <c r="AY470" s="65">
        <f t="shared" si="633"/>
        <v>0</v>
      </c>
      <c r="AZ470" s="65">
        <f t="shared" si="633"/>
        <v>2361.5361922604625</v>
      </c>
      <c r="BB470" s="64"/>
      <c r="BC470" s="66"/>
      <c r="BD470" s="66"/>
      <c r="BE470" s="66"/>
    </row>
    <row r="471" spans="2:57" ht="21" customHeight="1" x14ac:dyDescent="0.2">
      <c r="B471" s="67">
        <v>42</v>
      </c>
      <c r="C471" s="73" t="s">
        <v>66</v>
      </c>
      <c r="D471" s="67">
        <v>13317</v>
      </c>
      <c r="E471" s="72" t="s">
        <v>645</v>
      </c>
      <c r="F471" s="72" t="s">
        <v>640</v>
      </c>
      <c r="G471" s="123">
        <v>42156</v>
      </c>
      <c r="H471" s="56" t="str">
        <f t="shared" si="588"/>
        <v>9 AÑOS</v>
      </c>
      <c r="I471" s="57">
        <v>3044.9432568214738</v>
      </c>
      <c r="J471" s="58"/>
      <c r="K471" s="58"/>
      <c r="L471" s="59"/>
      <c r="M471" s="60">
        <v>1.24E-3</v>
      </c>
      <c r="N471" s="61">
        <f t="shared" si="629"/>
        <v>377.57296384586277</v>
      </c>
      <c r="O471" s="58">
        <f t="shared" si="589"/>
        <v>3422.5162206673367</v>
      </c>
      <c r="P471" s="61">
        <f t="shared" si="590"/>
        <v>6845.0324413346734</v>
      </c>
      <c r="Q471" s="61">
        <f t="shared" si="591"/>
        <v>5133.7743310010046</v>
      </c>
      <c r="R471" s="61">
        <f t="shared" si="592"/>
        <v>1711.2581103336684</v>
      </c>
      <c r="S471" s="61">
        <f t="shared" si="593"/>
        <v>228.16774804448912</v>
      </c>
      <c r="T471" s="58">
        <f t="shared" si="594"/>
        <v>261.91375798026905</v>
      </c>
      <c r="U471" s="61">
        <f t="shared" si="595"/>
        <v>2566.8871655005023</v>
      </c>
      <c r="V471" s="58">
        <f t="shared" si="596"/>
        <v>855.62905516683418</v>
      </c>
      <c r="W471" s="101">
        <v>2.5000000000000001E-2</v>
      </c>
      <c r="X471" s="63">
        <f t="shared" si="597"/>
        <v>171.12581103336686</v>
      </c>
      <c r="Y471" s="61">
        <v>0</v>
      </c>
      <c r="Z471" s="61">
        <v>25.27</v>
      </c>
      <c r="AA471" s="61">
        <f t="shared" si="598"/>
        <v>855.62905516683429</v>
      </c>
      <c r="AB471" s="61">
        <f t="shared" si="599"/>
        <v>171.12581103336683</v>
      </c>
      <c r="AC471" s="61">
        <v>1420.53</v>
      </c>
      <c r="AD471" s="61">
        <v>626.21</v>
      </c>
      <c r="AE471" s="61">
        <v>405.84</v>
      </c>
      <c r="AF471" s="61">
        <v>0</v>
      </c>
      <c r="AG471" s="61">
        <f t="shared" si="600"/>
        <v>236.15361922604623</v>
      </c>
      <c r="AH471" s="64"/>
      <c r="AI471" s="64"/>
      <c r="AJ471" s="67">
        <v>42</v>
      </c>
      <c r="AK471" s="73" t="s">
        <v>66</v>
      </c>
      <c r="AL471" s="67">
        <v>13317</v>
      </c>
      <c r="AM471" s="72" t="s">
        <v>645</v>
      </c>
      <c r="AN471" s="72" t="s">
        <v>640</v>
      </c>
      <c r="AO471" s="138">
        <f t="shared" si="632"/>
        <v>51337.743310010046</v>
      </c>
      <c r="AP471" s="65">
        <f t="shared" si="632"/>
        <v>17112.581103336684</v>
      </c>
      <c r="AQ471" s="65">
        <f t="shared" si="633"/>
        <v>1711.2581103336686</v>
      </c>
      <c r="AR471" s="65">
        <f t="shared" si="633"/>
        <v>0</v>
      </c>
      <c r="AS471" s="65">
        <f t="shared" si="633"/>
        <v>252.7</v>
      </c>
      <c r="AT471" s="65">
        <f t="shared" si="633"/>
        <v>8556.2905516683422</v>
      </c>
      <c r="AU471" s="65">
        <f t="shared" si="633"/>
        <v>1711.2581103336684</v>
      </c>
      <c r="AV471" s="65">
        <f t="shared" si="633"/>
        <v>14205.3</v>
      </c>
      <c r="AW471" s="65">
        <f t="shared" si="633"/>
        <v>6262.1</v>
      </c>
      <c r="AX471" s="65">
        <f t="shared" si="633"/>
        <v>4058.3999999999996</v>
      </c>
      <c r="AY471" s="65">
        <f t="shared" si="633"/>
        <v>0</v>
      </c>
      <c r="AZ471" s="65">
        <f t="shared" si="633"/>
        <v>2361.5361922604625</v>
      </c>
      <c r="BB471" s="64"/>
      <c r="BC471" s="66"/>
      <c r="BD471" s="66"/>
      <c r="BE471" s="66"/>
    </row>
    <row r="472" spans="2:57" ht="21" customHeight="1" x14ac:dyDescent="0.2">
      <c r="B472" s="67">
        <v>43</v>
      </c>
      <c r="C472" s="73" t="s">
        <v>66</v>
      </c>
      <c r="D472" s="67">
        <v>13343</v>
      </c>
      <c r="E472" s="73" t="s">
        <v>646</v>
      </c>
      <c r="F472" s="72" t="s">
        <v>640</v>
      </c>
      <c r="G472" s="123">
        <v>43374</v>
      </c>
      <c r="H472" s="56" t="str">
        <f t="shared" si="588"/>
        <v>6 AÑOS</v>
      </c>
      <c r="I472" s="57">
        <v>3044.9432568214738</v>
      </c>
      <c r="J472" s="58"/>
      <c r="K472" s="58"/>
      <c r="L472" s="59"/>
      <c r="M472" s="60">
        <v>1.24E-3</v>
      </c>
      <c r="N472" s="61">
        <f t="shared" si="629"/>
        <v>377.57296384586277</v>
      </c>
      <c r="O472" s="58">
        <f t="shared" si="589"/>
        <v>3422.5162206673367</v>
      </c>
      <c r="P472" s="61">
        <f t="shared" si="590"/>
        <v>6845.0324413346734</v>
      </c>
      <c r="Q472" s="61">
        <f t="shared" si="591"/>
        <v>5133.7743310010046</v>
      </c>
      <c r="R472" s="61">
        <f t="shared" si="592"/>
        <v>1711.2581103336684</v>
      </c>
      <c r="S472" s="61">
        <f t="shared" si="593"/>
        <v>228.16774804448912</v>
      </c>
      <c r="T472" s="58">
        <f t="shared" si="594"/>
        <v>261.91375798026905</v>
      </c>
      <c r="U472" s="61">
        <f t="shared" si="595"/>
        <v>2566.8871655005023</v>
      </c>
      <c r="V472" s="58">
        <f t="shared" si="596"/>
        <v>855.62905516683418</v>
      </c>
      <c r="W472" s="101">
        <v>2.5000000000000001E-2</v>
      </c>
      <c r="X472" s="63">
        <f t="shared" si="597"/>
        <v>171.12581103336686</v>
      </c>
      <c r="Y472" s="61">
        <v>0</v>
      </c>
      <c r="Z472" s="61">
        <v>25.27</v>
      </c>
      <c r="AA472" s="61">
        <f t="shared" si="598"/>
        <v>855.62905516683429</v>
      </c>
      <c r="AB472" s="61">
        <f t="shared" si="599"/>
        <v>171.12581103336683</v>
      </c>
      <c r="AC472" s="61">
        <v>1420.53</v>
      </c>
      <c r="AD472" s="61">
        <v>626.21</v>
      </c>
      <c r="AE472" s="61">
        <v>405.84</v>
      </c>
      <c r="AF472" s="61">
        <v>0</v>
      </c>
      <c r="AG472" s="61">
        <f t="shared" si="600"/>
        <v>236.15361922604623</v>
      </c>
      <c r="AH472" s="64"/>
      <c r="AI472" s="64"/>
      <c r="AJ472" s="67">
        <v>43</v>
      </c>
      <c r="AK472" s="73" t="s">
        <v>66</v>
      </c>
      <c r="AL472" s="67">
        <v>13343</v>
      </c>
      <c r="AM472" s="73" t="s">
        <v>646</v>
      </c>
      <c r="AN472" s="72" t="s">
        <v>640</v>
      </c>
      <c r="AO472" s="138">
        <f t="shared" si="632"/>
        <v>51337.743310010046</v>
      </c>
      <c r="AP472" s="65">
        <f t="shared" si="632"/>
        <v>17112.581103336684</v>
      </c>
      <c r="AQ472" s="65">
        <f t="shared" si="633"/>
        <v>1711.2581103336686</v>
      </c>
      <c r="AR472" s="65">
        <f t="shared" si="633"/>
        <v>0</v>
      </c>
      <c r="AS472" s="65">
        <f t="shared" si="633"/>
        <v>252.7</v>
      </c>
      <c r="AT472" s="65">
        <f t="shared" si="633"/>
        <v>8556.2905516683422</v>
      </c>
      <c r="AU472" s="65">
        <f t="shared" si="633"/>
        <v>1711.2581103336684</v>
      </c>
      <c r="AV472" s="65">
        <f t="shared" si="633"/>
        <v>14205.3</v>
      </c>
      <c r="AW472" s="65">
        <f t="shared" si="633"/>
        <v>6262.1</v>
      </c>
      <c r="AX472" s="65">
        <f t="shared" si="633"/>
        <v>4058.3999999999996</v>
      </c>
      <c r="AY472" s="65">
        <f t="shared" si="633"/>
        <v>0</v>
      </c>
      <c r="AZ472" s="65">
        <f t="shared" si="633"/>
        <v>2361.5361922604625</v>
      </c>
      <c r="BB472" s="64"/>
      <c r="BC472" s="66"/>
      <c r="BD472" s="66"/>
      <c r="BE472" s="66"/>
    </row>
    <row r="473" spans="2:57" ht="21" customHeight="1" x14ac:dyDescent="0.2">
      <c r="B473" s="67">
        <v>44</v>
      </c>
      <c r="C473" s="73" t="s">
        <v>66</v>
      </c>
      <c r="D473" s="67">
        <v>13366</v>
      </c>
      <c r="E473" s="73" t="s">
        <v>647</v>
      </c>
      <c r="F473" s="112" t="s">
        <v>648</v>
      </c>
      <c r="G473" s="178">
        <v>43955</v>
      </c>
      <c r="H473" s="56" t="str">
        <f t="shared" si="588"/>
        <v>4 AÑOS</v>
      </c>
      <c r="I473" s="57">
        <v>3532.5804700132076</v>
      </c>
      <c r="J473" s="58"/>
      <c r="K473" s="58"/>
      <c r="L473" s="59"/>
      <c r="M473" s="60">
        <v>4.0000000000000002E-4</v>
      </c>
      <c r="N473" s="61">
        <f t="shared" si="609"/>
        <v>141.3032188005283</v>
      </c>
      <c r="O473" s="58">
        <f t="shared" si="589"/>
        <v>3673.8836888137357</v>
      </c>
      <c r="P473" s="61">
        <f t="shared" si="590"/>
        <v>7347.7673776274714</v>
      </c>
      <c r="Q473" s="61">
        <f t="shared" si="591"/>
        <v>5510.8255332206036</v>
      </c>
      <c r="R473" s="61">
        <f t="shared" si="592"/>
        <v>1836.9418444068679</v>
      </c>
      <c r="S473" s="61">
        <f t="shared" si="593"/>
        <v>244.92557925424904</v>
      </c>
      <c r="T473" s="58">
        <f t="shared" si="594"/>
        <v>281.15007242595243</v>
      </c>
      <c r="U473" s="61">
        <f t="shared" si="595"/>
        <v>2755.4127666103018</v>
      </c>
      <c r="V473" s="58">
        <f t="shared" si="596"/>
        <v>918.47092220343393</v>
      </c>
      <c r="W473" s="101">
        <v>0</v>
      </c>
      <c r="X473" s="63">
        <f t="shared" si="597"/>
        <v>0</v>
      </c>
      <c r="Y473" s="61">
        <v>28.974754126118626</v>
      </c>
      <c r="Z473" s="61">
        <v>0</v>
      </c>
      <c r="AA473" s="61">
        <f t="shared" si="598"/>
        <v>918.47092220343393</v>
      </c>
      <c r="AB473" s="61">
        <f t="shared" si="599"/>
        <v>183.69418444068677</v>
      </c>
      <c r="AC473" s="61">
        <v>1473.4295549056083</v>
      </c>
      <c r="AD473" s="61">
        <v>672.41257071752909</v>
      </c>
      <c r="AE473" s="61">
        <v>435.78261226022624</v>
      </c>
      <c r="AF473" s="61">
        <v>0</v>
      </c>
      <c r="AG473" s="61">
        <f t="shared" si="600"/>
        <v>253.49797452814775</v>
      </c>
      <c r="AH473" s="64"/>
      <c r="AI473" s="64"/>
      <c r="AJ473" s="67">
        <v>44</v>
      </c>
      <c r="AK473" s="73" t="s">
        <v>66</v>
      </c>
      <c r="AL473" s="67">
        <v>13366</v>
      </c>
      <c r="AM473" s="73" t="s">
        <v>647</v>
      </c>
      <c r="AN473" s="112" t="s">
        <v>648</v>
      </c>
      <c r="AO473" s="138">
        <f t="shared" ref="AO473:AP475" si="634">Q473*12</f>
        <v>66129.906398647247</v>
      </c>
      <c r="AP473" s="65">
        <f t="shared" si="634"/>
        <v>22043.302132882414</v>
      </c>
      <c r="AQ473" s="65">
        <f t="shared" ref="AQ473:AZ475" si="635">X473*12</f>
        <v>0</v>
      </c>
      <c r="AR473" s="65">
        <f t="shared" si="635"/>
        <v>347.69704951342351</v>
      </c>
      <c r="AS473" s="65">
        <f t="shared" si="635"/>
        <v>0</v>
      </c>
      <c r="AT473" s="65">
        <f t="shared" si="635"/>
        <v>11021.651066441207</v>
      </c>
      <c r="AU473" s="65">
        <f t="shared" si="635"/>
        <v>2204.3302132882413</v>
      </c>
      <c r="AV473" s="65">
        <f t="shared" si="635"/>
        <v>17681.154658867301</v>
      </c>
      <c r="AW473" s="65">
        <f t="shared" si="635"/>
        <v>8068.9508486103496</v>
      </c>
      <c r="AX473" s="65">
        <f t="shared" si="635"/>
        <v>5229.3913471227152</v>
      </c>
      <c r="AY473" s="65">
        <f t="shared" si="635"/>
        <v>0</v>
      </c>
      <c r="AZ473" s="65">
        <f t="shared" si="635"/>
        <v>3041.9756943377729</v>
      </c>
      <c r="BB473" s="64"/>
      <c r="BC473" s="66"/>
      <c r="BD473" s="66"/>
      <c r="BE473" s="66"/>
    </row>
    <row r="474" spans="2:57" ht="21" customHeight="1" x14ac:dyDescent="0.2">
      <c r="B474" s="67">
        <v>45</v>
      </c>
      <c r="C474" s="73" t="s">
        <v>66</v>
      </c>
      <c r="D474" s="67">
        <v>13247</v>
      </c>
      <c r="E474" s="72" t="s">
        <v>649</v>
      </c>
      <c r="F474" s="112" t="s">
        <v>650</v>
      </c>
      <c r="G474" s="123">
        <v>40391</v>
      </c>
      <c r="H474" s="56" t="str">
        <f t="shared" si="588"/>
        <v>14 AÑOS</v>
      </c>
      <c r="I474" s="57">
        <v>3517.8507004132075</v>
      </c>
      <c r="J474" s="58"/>
      <c r="K474" s="58"/>
      <c r="L474" s="59"/>
      <c r="M474" s="60">
        <v>4.0000000000000002E-4</v>
      </c>
      <c r="N474" s="61">
        <f t="shared" si="609"/>
        <v>140.71402801652832</v>
      </c>
      <c r="O474" s="58">
        <f t="shared" si="589"/>
        <v>3658.5647284297356</v>
      </c>
      <c r="P474" s="61">
        <f t="shared" si="590"/>
        <v>7317.1294568594712</v>
      </c>
      <c r="Q474" s="61">
        <f t="shared" si="591"/>
        <v>5487.8470926446034</v>
      </c>
      <c r="R474" s="61">
        <f t="shared" si="592"/>
        <v>1829.2823642148678</v>
      </c>
      <c r="S474" s="61">
        <f t="shared" si="593"/>
        <v>243.90431522864904</v>
      </c>
      <c r="T474" s="58">
        <f t="shared" si="594"/>
        <v>279.97776345096622</v>
      </c>
      <c r="U474" s="61">
        <f t="shared" si="595"/>
        <v>2743.9235463223017</v>
      </c>
      <c r="V474" s="58">
        <f t="shared" si="596"/>
        <v>914.64118210743391</v>
      </c>
      <c r="W474" s="101">
        <v>0.05</v>
      </c>
      <c r="X474" s="63">
        <f t="shared" si="597"/>
        <v>365.85647284297357</v>
      </c>
      <c r="Y474" s="61">
        <v>27.504133929254635</v>
      </c>
      <c r="Z474" s="61">
        <v>0</v>
      </c>
      <c r="AA474" s="61">
        <f t="shared" si="598"/>
        <v>914.64118210743391</v>
      </c>
      <c r="AB474" s="61">
        <f t="shared" si="599"/>
        <v>182.92823642148679</v>
      </c>
      <c r="AC474" s="61">
        <v>1470.2196377648711</v>
      </c>
      <c r="AD474" s="61">
        <v>669.60881795750333</v>
      </c>
      <c r="AE474" s="61">
        <v>433.96553334899767</v>
      </c>
      <c r="AF474" s="61">
        <v>0</v>
      </c>
      <c r="AG474" s="61">
        <f t="shared" si="600"/>
        <v>252.44096626165177</v>
      </c>
      <c r="AH474" s="64"/>
      <c r="AI474" s="64"/>
      <c r="AJ474" s="67">
        <v>45</v>
      </c>
      <c r="AK474" s="73" t="s">
        <v>66</v>
      </c>
      <c r="AL474" s="67">
        <v>13247</v>
      </c>
      <c r="AM474" s="72" t="s">
        <v>649</v>
      </c>
      <c r="AN474" s="112" t="s">
        <v>650</v>
      </c>
      <c r="AO474" s="138">
        <f t="shared" si="634"/>
        <v>65854.165111735245</v>
      </c>
      <c r="AP474" s="65">
        <f t="shared" si="634"/>
        <v>21951.388370578414</v>
      </c>
      <c r="AQ474" s="65">
        <f t="shared" si="635"/>
        <v>4390.2776741156831</v>
      </c>
      <c r="AR474" s="65">
        <f t="shared" si="635"/>
        <v>330.04960715105562</v>
      </c>
      <c r="AS474" s="65">
        <f t="shared" si="635"/>
        <v>0</v>
      </c>
      <c r="AT474" s="65">
        <f t="shared" si="635"/>
        <v>10975.694185289207</v>
      </c>
      <c r="AU474" s="65">
        <f t="shared" si="635"/>
        <v>2195.1388370578416</v>
      </c>
      <c r="AV474" s="65">
        <f t="shared" si="635"/>
        <v>17642.635653178455</v>
      </c>
      <c r="AW474" s="65">
        <f t="shared" si="635"/>
        <v>8035.30581549004</v>
      </c>
      <c r="AX474" s="65">
        <f t="shared" si="635"/>
        <v>5207.5864001879718</v>
      </c>
      <c r="AY474" s="65">
        <f t="shared" si="635"/>
        <v>0</v>
      </c>
      <c r="AZ474" s="65">
        <f t="shared" si="635"/>
        <v>3029.2915951398213</v>
      </c>
      <c r="BB474" s="64"/>
      <c r="BC474" s="66"/>
      <c r="BD474" s="66"/>
      <c r="BE474" s="66"/>
    </row>
    <row r="475" spans="2:57" ht="21" customHeight="1" x14ac:dyDescent="0.2">
      <c r="B475" s="67">
        <v>46</v>
      </c>
      <c r="C475" s="73" t="s">
        <v>66</v>
      </c>
      <c r="D475" s="67">
        <v>13140</v>
      </c>
      <c r="E475" s="72" t="s">
        <v>651</v>
      </c>
      <c r="F475" s="112" t="s">
        <v>652</v>
      </c>
      <c r="G475" s="123">
        <v>37073</v>
      </c>
      <c r="H475" s="56" t="str">
        <f t="shared" si="588"/>
        <v>23 AÑOS</v>
      </c>
      <c r="I475" s="57">
        <v>3511.956521213207</v>
      </c>
      <c r="J475" s="58"/>
      <c r="K475" s="58"/>
      <c r="L475" s="59"/>
      <c r="M475" s="60">
        <v>4.0000000000000002E-4</v>
      </c>
      <c r="N475" s="61">
        <f t="shared" si="609"/>
        <v>140.47826084852829</v>
      </c>
      <c r="O475" s="58">
        <f t="shared" si="589"/>
        <v>3652.4347820617354</v>
      </c>
      <c r="P475" s="61">
        <f t="shared" si="590"/>
        <v>7304.8695641234708</v>
      </c>
      <c r="Q475" s="61">
        <f t="shared" si="591"/>
        <v>5478.6521730926033</v>
      </c>
      <c r="R475" s="61">
        <f t="shared" si="592"/>
        <v>1826.2173910308677</v>
      </c>
      <c r="S475" s="61">
        <f t="shared" si="593"/>
        <v>243.49565213744901</v>
      </c>
      <c r="T475" s="58">
        <f t="shared" si="594"/>
        <v>279.5086590885777</v>
      </c>
      <c r="U475" s="61">
        <f t="shared" si="595"/>
        <v>2739.3260865463017</v>
      </c>
      <c r="V475" s="58">
        <f t="shared" si="596"/>
        <v>913.10869551543385</v>
      </c>
      <c r="W475" s="101">
        <v>7.4999999999999997E-2</v>
      </c>
      <c r="X475" s="63">
        <f t="shared" si="597"/>
        <v>547.86521730926029</v>
      </c>
      <c r="Y475" s="61">
        <v>26.915659077926648</v>
      </c>
      <c r="Z475" s="61">
        <v>0</v>
      </c>
      <c r="AA475" s="61">
        <f t="shared" si="598"/>
        <v>913.10869551543374</v>
      </c>
      <c r="AB475" s="61">
        <f t="shared" si="599"/>
        <v>182.62173910308675</v>
      </c>
      <c r="AC475" s="61">
        <v>1468.9351759329186</v>
      </c>
      <c r="AD475" s="61">
        <v>668.4868845091969</v>
      </c>
      <c r="AE475" s="61">
        <v>433.23842158729542</v>
      </c>
      <c r="AF475" s="61">
        <v>0</v>
      </c>
      <c r="AG475" s="61">
        <f t="shared" si="600"/>
        <v>252.01799996225972</v>
      </c>
      <c r="AH475" s="64"/>
      <c r="AI475" s="64"/>
      <c r="AJ475" s="67">
        <v>46</v>
      </c>
      <c r="AK475" s="73" t="s">
        <v>66</v>
      </c>
      <c r="AL475" s="67">
        <v>13140</v>
      </c>
      <c r="AM475" s="72" t="s">
        <v>651</v>
      </c>
      <c r="AN475" s="112" t="s">
        <v>652</v>
      </c>
      <c r="AO475" s="138">
        <f t="shared" si="634"/>
        <v>65743.82607711124</v>
      </c>
      <c r="AP475" s="65">
        <f t="shared" si="634"/>
        <v>21914.608692370413</v>
      </c>
      <c r="AQ475" s="65">
        <f t="shared" si="635"/>
        <v>6574.3826077111235</v>
      </c>
      <c r="AR475" s="65">
        <f t="shared" si="635"/>
        <v>322.98790893511978</v>
      </c>
      <c r="AS475" s="65">
        <f t="shared" si="635"/>
        <v>0</v>
      </c>
      <c r="AT475" s="65">
        <f t="shared" si="635"/>
        <v>10957.304346185205</v>
      </c>
      <c r="AU475" s="65">
        <f t="shared" si="635"/>
        <v>2191.4608692370412</v>
      </c>
      <c r="AV475" s="65">
        <f t="shared" si="635"/>
        <v>17627.222111195024</v>
      </c>
      <c r="AW475" s="65">
        <f t="shared" si="635"/>
        <v>8021.8426141103628</v>
      </c>
      <c r="AX475" s="65">
        <f t="shared" si="635"/>
        <v>5198.8610590475455</v>
      </c>
      <c r="AY475" s="65">
        <f t="shared" si="635"/>
        <v>0</v>
      </c>
      <c r="AZ475" s="65">
        <f t="shared" si="635"/>
        <v>3024.2159995471166</v>
      </c>
      <c r="BB475" s="64"/>
      <c r="BC475" s="66"/>
      <c r="BD475" s="66"/>
      <c r="BE475" s="66"/>
    </row>
    <row r="476" spans="2:57" ht="21" customHeight="1" x14ac:dyDescent="0.2">
      <c r="B476" s="67">
        <v>47</v>
      </c>
      <c r="C476" s="73" t="s">
        <v>66</v>
      </c>
      <c r="D476" s="67">
        <v>13406</v>
      </c>
      <c r="E476" s="73" t="s">
        <v>653</v>
      </c>
      <c r="F476" s="112" t="s">
        <v>654</v>
      </c>
      <c r="G476" s="123">
        <v>45413</v>
      </c>
      <c r="H476" s="56" t="str">
        <f t="shared" si="588"/>
        <v>0 AÑOS</v>
      </c>
      <c r="I476" s="57">
        <v>3170.3326204132072</v>
      </c>
      <c r="J476" s="58"/>
      <c r="K476" s="58"/>
      <c r="L476" s="59"/>
      <c r="M476" s="60">
        <v>7.7999999999999999E-4</v>
      </c>
      <c r="N476" s="61">
        <f t="shared" ref="N476:N495" si="636">I476*0.078</f>
        <v>247.28594439223016</v>
      </c>
      <c r="O476" s="58">
        <f t="shared" si="589"/>
        <v>3417.6185648054375</v>
      </c>
      <c r="P476" s="61">
        <f t="shared" si="590"/>
        <v>6835.2371296108749</v>
      </c>
      <c r="Q476" s="61">
        <f t="shared" si="591"/>
        <v>5126.427847208156</v>
      </c>
      <c r="R476" s="61">
        <f t="shared" si="592"/>
        <v>1708.8092824027187</v>
      </c>
      <c r="S476" s="61">
        <f t="shared" si="593"/>
        <v>227.84123765369583</v>
      </c>
      <c r="T476" s="58">
        <f t="shared" si="594"/>
        <v>261.53895670267741</v>
      </c>
      <c r="U476" s="61">
        <f t="shared" si="595"/>
        <v>2563.213923604078</v>
      </c>
      <c r="V476" s="58">
        <f t="shared" si="596"/>
        <v>854.40464120135937</v>
      </c>
      <c r="W476" s="101">
        <v>7.4999999999999997E-2</v>
      </c>
      <c r="X476" s="63">
        <f t="shared" si="597"/>
        <v>512.6427847208156</v>
      </c>
      <c r="Y476" s="61">
        <v>0</v>
      </c>
      <c r="Z476" s="61">
        <v>25.27</v>
      </c>
      <c r="AA476" s="61">
        <f t="shared" si="598"/>
        <v>854.40464120135937</v>
      </c>
      <c r="AB476" s="61">
        <f t="shared" si="599"/>
        <v>170.88092824027186</v>
      </c>
      <c r="AC476" s="61">
        <v>1420.53</v>
      </c>
      <c r="AD476" s="61">
        <v>626.21</v>
      </c>
      <c r="AE476" s="61">
        <v>405.84</v>
      </c>
      <c r="AF476" s="61">
        <v>0</v>
      </c>
      <c r="AG476" s="61">
        <f t="shared" si="600"/>
        <v>235.81568097157518</v>
      </c>
      <c r="AH476" s="64"/>
      <c r="AI476" s="64"/>
      <c r="AJ476" s="67">
        <v>47</v>
      </c>
      <c r="AK476" s="73" t="s">
        <v>66</v>
      </c>
      <c r="AL476" s="67">
        <v>13406</v>
      </c>
      <c r="AM476" s="73" t="s">
        <v>653</v>
      </c>
      <c r="AN476" s="112" t="s">
        <v>654</v>
      </c>
      <c r="AO476" s="138">
        <f t="shared" ref="AO476:AO497" si="637">Q476*10</f>
        <v>51264.278472081562</v>
      </c>
      <c r="AP476" s="65">
        <f t="shared" ref="AP476:AP497" si="638">R476*10</f>
        <v>17088.092824027186</v>
      </c>
      <c r="AQ476" s="65">
        <f t="shared" ref="AQ476:AQ497" si="639">X476*10</f>
        <v>5126.427847208156</v>
      </c>
      <c r="AR476" s="65">
        <f t="shared" ref="AR476:AR497" si="640">Y476*10</f>
        <v>0</v>
      </c>
      <c r="AS476" s="65">
        <f t="shared" ref="AS476:AS497" si="641">Z476*10</f>
        <v>252.7</v>
      </c>
      <c r="AT476" s="65">
        <f t="shared" ref="AT476:AT497" si="642">AA476*10</f>
        <v>8544.046412013593</v>
      </c>
      <c r="AU476" s="65">
        <f t="shared" ref="AU476:AU497" si="643">AB476*10</f>
        <v>1708.8092824027185</v>
      </c>
      <c r="AV476" s="65">
        <f t="shared" ref="AV476:AV497" si="644">AC476*10</f>
        <v>14205.3</v>
      </c>
      <c r="AW476" s="65">
        <f t="shared" ref="AW476:AW497" si="645">AD476*10</f>
        <v>6262.1</v>
      </c>
      <c r="AX476" s="65">
        <f t="shared" ref="AX476:AX497" si="646">AE476*10</f>
        <v>4058.3999999999996</v>
      </c>
      <c r="AY476" s="65">
        <f t="shared" ref="AY476:AY497" si="647">AF476*10</f>
        <v>0</v>
      </c>
      <c r="AZ476" s="65">
        <f t="shared" ref="AZ476:AZ497" si="648">AG476*10</f>
        <v>2358.1568097157519</v>
      </c>
      <c r="BB476" s="64"/>
      <c r="BC476" s="66"/>
      <c r="BD476" s="66"/>
      <c r="BE476" s="66"/>
    </row>
    <row r="477" spans="2:57" ht="21" customHeight="1" x14ac:dyDescent="0.2">
      <c r="B477" s="67">
        <v>48</v>
      </c>
      <c r="C477" s="73" t="s">
        <v>66</v>
      </c>
      <c r="D477" s="67">
        <v>13234</v>
      </c>
      <c r="E477" s="72" t="s">
        <v>655</v>
      </c>
      <c r="F477" s="112" t="s">
        <v>654</v>
      </c>
      <c r="G477" s="189">
        <v>40042</v>
      </c>
      <c r="H477" s="56" t="str">
        <f t="shared" si="588"/>
        <v>15 AÑOS</v>
      </c>
      <c r="I477" s="57">
        <v>3170.3326204132072</v>
      </c>
      <c r="J477" s="58"/>
      <c r="K477" s="58"/>
      <c r="L477" s="59"/>
      <c r="M477" s="60">
        <v>7.7999999999999999E-4</v>
      </c>
      <c r="N477" s="61">
        <f t="shared" si="636"/>
        <v>247.28594439223016</v>
      </c>
      <c r="O477" s="58">
        <f t="shared" si="589"/>
        <v>3417.6185648054375</v>
      </c>
      <c r="P477" s="61">
        <f t="shared" si="590"/>
        <v>6835.2371296108749</v>
      </c>
      <c r="Q477" s="61">
        <f t="shared" si="591"/>
        <v>5126.427847208156</v>
      </c>
      <c r="R477" s="61">
        <f t="shared" si="592"/>
        <v>1708.8092824027187</v>
      </c>
      <c r="S477" s="61">
        <f t="shared" si="593"/>
        <v>227.84123765369583</v>
      </c>
      <c r="T477" s="58">
        <f t="shared" si="594"/>
        <v>261.53895670267741</v>
      </c>
      <c r="U477" s="61">
        <f t="shared" si="595"/>
        <v>2563.213923604078</v>
      </c>
      <c r="V477" s="58">
        <f t="shared" si="596"/>
        <v>854.40464120135937</v>
      </c>
      <c r="W477" s="101">
        <v>7.4999999999999997E-2</v>
      </c>
      <c r="X477" s="63">
        <f t="shared" si="597"/>
        <v>512.6427847208156</v>
      </c>
      <c r="Y477" s="61">
        <v>0</v>
      </c>
      <c r="Z477" s="61">
        <v>25.27</v>
      </c>
      <c r="AA477" s="61">
        <f t="shared" si="598"/>
        <v>854.40464120135937</v>
      </c>
      <c r="AB477" s="61">
        <f t="shared" si="599"/>
        <v>170.88092824027186</v>
      </c>
      <c r="AC477" s="61">
        <v>1420.53</v>
      </c>
      <c r="AD477" s="61">
        <v>626.21</v>
      </c>
      <c r="AE477" s="61">
        <v>405.84</v>
      </c>
      <c r="AF477" s="61">
        <v>0</v>
      </c>
      <c r="AG477" s="61">
        <f t="shared" si="600"/>
        <v>235.81568097157518</v>
      </c>
      <c r="AH477" s="64"/>
      <c r="AI477" s="64"/>
      <c r="AJ477" s="67">
        <v>48</v>
      </c>
      <c r="AK477" s="73" t="s">
        <v>66</v>
      </c>
      <c r="AL477" s="67">
        <v>13234</v>
      </c>
      <c r="AM477" s="72" t="s">
        <v>655</v>
      </c>
      <c r="AN477" s="112" t="s">
        <v>654</v>
      </c>
      <c r="AO477" s="138">
        <f t="shared" si="637"/>
        <v>51264.278472081562</v>
      </c>
      <c r="AP477" s="65">
        <f t="shared" si="638"/>
        <v>17088.092824027186</v>
      </c>
      <c r="AQ477" s="65">
        <f t="shared" si="639"/>
        <v>5126.427847208156</v>
      </c>
      <c r="AR477" s="65">
        <f t="shared" si="640"/>
        <v>0</v>
      </c>
      <c r="AS477" s="65">
        <f t="shared" si="641"/>
        <v>252.7</v>
      </c>
      <c r="AT477" s="65">
        <f t="shared" si="642"/>
        <v>8544.046412013593</v>
      </c>
      <c r="AU477" s="65">
        <f t="shared" si="643"/>
        <v>1708.8092824027185</v>
      </c>
      <c r="AV477" s="65">
        <f t="shared" si="644"/>
        <v>14205.3</v>
      </c>
      <c r="AW477" s="65">
        <f t="shared" si="645"/>
        <v>6262.1</v>
      </c>
      <c r="AX477" s="65">
        <f t="shared" si="646"/>
        <v>4058.3999999999996</v>
      </c>
      <c r="AY477" s="65">
        <f t="shared" si="647"/>
        <v>0</v>
      </c>
      <c r="AZ477" s="65">
        <f t="shared" si="648"/>
        <v>2358.1568097157519</v>
      </c>
      <c r="BB477" s="64"/>
      <c r="BC477" s="66"/>
      <c r="BD477" s="66"/>
      <c r="BE477" s="66"/>
    </row>
    <row r="478" spans="2:57" ht="21" customHeight="1" x14ac:dyDescent="0.2">
      <c r="B478" s="67">
        <v>49</v>
      </c>
      <c r="C478" s="73" t="s">
        <v>66</v>
      </c>
      <c r="D478" s="67">
        <v>13023</v>
      </c>
      <c r="E478" s="72" t="s">
        <v>656</v>
      </c>
      <c r="F478" s="112" t="s">
        <v>654</v>
      </c>
      <c r="G478" s="123">
        <v>34684</v>
      </c>
      <c r="H478" s="56" t="str">
        <f t="shared" si="588"/>
        <v>30 AÑOS</v>
      </c>
      <c r="I478" s="57">
        <v>3170.3326204132072</v>
      </c>
      <c r="J478" s="58"/>
      <c r="K478" s="58"/>
      <c r="L478" s="59"/>
      <c r="M478" s="60">
        <v>7.7999999999999999E-4</v>
      </c>
      <c r="N478" s="61">
        <f t="shared" si="636"/>
        <v>247.28594439223016</v>
      </c>
      <c r="O478" s="58">
        <f t="shared" si="589"/>
        <v>3417.6185648054375</v>
      </c>
      <c r="P478" s="61">
        <f t="shared" si="590"/>
        <v>6835.2371296108749</v>
      </c>
      <c r="Q478" s="61">
        <f t="shared" si="591"/>
        <v>5126.427847208156</v>
      </c>
      <c r="R478" s="61">
        <f t="shared" si="592"/>
        <v>1708.8092824027187</v>
      </c>
      <c r="S478" s="61">
        <f t="shared" si="593"/>
        <v>227.84123765369583</v>
      </c>
      <c r="T478" s="58">
        <f t="shared" si="594"/>
        <v>261.53895670267741</v>
      </c>
      <c r="U478" s="61">
        <f t="shared" si="595"/>
        <v>2563.213923604078</v>
      </c>
      <c r="V478" s="58">
        <f t="shared" si="596"/>
        <v>854.40464120135937</v>
      </c>
      <c r="W478" s="101">
        <v>7.4999999999999997E-2</v>
      </c>
      <c r="X478" s="63">
        <f t="shared" si="597"/>
        <v>512.6427847208156</v>
      </c>
      <c r="Y478" s="61">
        <v>0</v>
      </c>
      <c r="Z478" s="61">
        <v>25.27</v>
      </c>
      <c r="AA478" s="61">
        <f t="shared" si="598"/>
        <v>854.40464120135937</v>
      </c>
      <c r="AB478" s="61">
        <f t="shared" si="599"/>
        <v>170.88092824027186</v>
      </c>
      <c r="AC478" s="61">
        <v>1420.53</v>
      </c>
      <c r="AD478" s="61">
        <v>626.21</v>
      </c>
      <c r="AE478" s="61">
        <v>405.84</v>
      </c>
      <c r="AF478" s="61">
        <v>0</v>
      </c>
      <c r="AG478" s="61">
        <f t="shared" si="600"/>
        <v>235.81568097157518</v>
      </c>
      <c r="AH478" s="64"/>
      <c r="AI478" s="64"/>
      <c r="AJ478" s="67">
        <v>49</v>
      </c>
      <c r="AK478" s="73" t="s">
        <v>66</v>
      </c>
      <c r="AL478" s="67">
        <v>13023</v>
      </c>
      <c r="AM478" s="72" t="s">
        <v>656</v>
      </c>
      <c r="AN478" s="112" t="s">
        <v>654</v>
      </c>
      <c r="AO478" s="138">
        <f t="shared" si="637"/>
        <v>51264.278472081562</v>
      </c>
      <c r="AP478" s="65">
        <f t="shared" si="638"/>
        <v>17088.092824027186</v>
      </c>
      <c r="AQ478" s="65">
        <f t="shared" si="639"/>
        <v>5126.427847208156</v>
      </c>
      <c r="AR478" s="65">
        <f t="shared" si="640"/>
        <v>0</v>
      </c>
      <c r="AS478" s="65">
        <f t="shared" si="641"/>
        <v>252.7</v>
      </c>
      <c r="AT478" s="65">
        <f t="shared" si="642"/>
        <v>8544.046412013593</v>
      </c>
      <c r="AU478" s="65">
        <f t="shared" si="643"/>
        <v>1708.8092824027185</v>
      </c>
      <c r="AV478" s="65">
        <f t="shared" si="644"/>
        <v>14205.3</v>
      </c>
      <c r="AW478" s="65">
        <f t="shared" si="645"/>
        <v>6262.1</v>
      </c>
      <c r="AX478" s="65">
        <f t="shared" si="646"/>
        <v>4058.3999999999996</v>
      </c>
      <c r="AY478" s="65">
        <f t="shared" si="647"/>
        <v>0</v>
      </c>
      <c r="AZ478" s="65">
        <f t="shared" si="648"/>
        <v>2358.1568097157519</v>
      </c>
      <c r="BB478" s="64"/>
      <c r="BC478" s="66"/>
      <c r="BD478" s="66"/>
      <c r="BE478" s="66"/>
    </row>
    <row r="479" spans="2:57" ht="21" customHeight="1" x14ac:dyDescent="0.2">
      <c r="B479" s="67">
        <v>50</v>
      </c>
      <c r="C479" s="73" t="s">
        <v>66</v>
      </c>
      <c r="D479" s="67">
        <v>13356</v>
      </c>
      <c r="E479" s="72" t="s">
        <v>657</v>
      </c>
      <c r="F479" s="112" t="s">
        <v>654</v>
      </c>
      <c r="G479" s="123">
        <v>43862</v>
      </c>
      <c r="H479" s="56" t="str">
        <f t="shared" si="588"/>
        <v>4 AÑOS</v>
      </c>
      <c r="I479" s="57">
        <v>3170.3326204132072</v>
      </c>
      <c r="J479" s="58"/>
      <c r="K479" s="58"/>
      <c r="L479" s="59"/>
      <c r="M479" s="60">
        <v>7.7999999999999999E-4</v>
      </c>
      <c r="N479" s="61">
        <f t="shared" si="636"/>
        <v>247.28594439223016</v>
      </c>
      <c r="O479" s="58">
        <f t="shared" si="589"/>
        <v>3417.6185648054375</v>
      </c>
      <c r="P479" s="61">
        <f t="shared" si="590"/>
        <v>6835.2371296108749</v>
      </c>
      <c r="Q479" s="61">
        <f t="shared" si="591"/>
        <v>5126.427847208156</v>
      </c>
      <c r="R479" s="61">
        <f t="shared" si="592"/>
        <v>1708.8092824027187</v>
      </c>
      <c r="S479" s="61">
        <f t="shared" si="593"/>
        <v>227.84123765369583</v>
      </c>
      <c r="T479" s="58">
        <f t="shared" si="594"/>
        <v>261.53895670267741</v>
      </c>
      <c r="U479" s="61">
        <f t="shared" si="595"/>
        <v>2563.213923604078</v>
      </c>
      <c r="V479" s="58">
        <f t="shared" si="596"/>
        <v>854.40464120135937</v>
      </c>
      <c r="W479" s="101">
        <v>0</v>
      </c>
      <c r="X479" s="63">
        <f t="shared" si="597"/>
        <v>0</v>
      </c>
      <c r="Y479" s="61">
        <v>0</v>
      </c>
      <c r="Z479" s="61">
        <v>25.27</v>
      </c>
      <c r="AA479" s="61">
        <f t="shared" si="598"/>
        <v>854.40464120135937</v>
      </c>
      <c r="AB479" s="61">
        <f t="shared" si="599"/>
        <v>170.88092824027186</v>
      </c>
      <c r="AC479" s="61">
        <v>1420.53</v>
      </c>
      <c r="AD479" s="61">
        <v>626.21</v>
      </c>
      <c r="AE479" s="61">
        <v>405.84</v>
      </c>
      <c r="AF479" s="61">
        <v>0</v>
      </c>
      <c r="AG479" s="61">
        <f t="shared" si="600"/>
        <v>235.81568097157518</v>
      </c>
      <c r="AH479" s="64"/>
      <c r="AI479" s="64"/>
      <c r="AJ479" s="67">
        <v>50</v>
      </c>
      <c r="AK479" s="73" t="s">
        <v>66</v>
      </c>
      <c r="AL479" s="67">
        <v>13356</v>
      </c>
      <c r="AM479" s="72" t="s">
        <v>657</v>
      </c>
      <c r="AN479" s="112" t="s">
        <v>654</v>
      </c>
      <c r="AO479" s="138">
        <f t="shared" si="637"/>
        <v>51264.278472081562</v>
      </c>
      <c r="AP479" s="65">
        <f t="shared" si="638"/>
        <v>17088.092824027186</v>
      </c>
      <c r="AQ479" s="65">
        <f t="shared" si="639"/>
        <v>0</v>
      </c>
      <c r="AR479" s="65">
        <f t="shared" si="640"/>
        <v>0</v>
      </c>
      <c r="AS479" s="65">
        <f t="shared" si="641"/>
        <v>252.7</v>
      </c>
      <c r="AT479" s="65">
        <f t="shared" si="642"/>
        <v>8544.046412013593</v>
      </c>
      <c r="AU479" s="65">
        <f t="shared" si="643"/>
        <v>1708.8092824027185</v>
      </c>
      <c r="AV479" s="65">
        <f t="shared" si="644"/>
        <v>14205.3</v>
      </c>
      <c r="AW479" s="65">
        <f t="shared" si="645"/>
        <v>6262.1</v>
      </c>
      <c r="AX479" s="65">
        <f t="shared" si="646"/>
        <v>4058.3999999999996</v>
      </c>
      <c r="AY479" s="65">
        <f t="shared" si="647"/>
        <v>0</v>
      </c>
      <c r="AZ479" s="65">
        <f t="shared" si="648"/>
        <v>2358.1568097157519</v>
      </c>
      <c r="BB479" s="64"/>
      <c r="BC479" s="66"/>
      <c r="BD479" s="66"/>
      <c r="BE479" s="66"/>
    </row>
    <row r="480" spans="2:57" ht="21" customHeight="1" x14ac:dyDescent="0.2">
      <c r="B480" s="67">
        <v>51</v>
      </c>
      <c r="C480" s="73" t="s">
        <v>66</v>
      </c>
      <c r="D480" s="67">
        <v>13254</v>
      </c>
      <c r="E480" s="72" t="s">
        <v>658</v>
      </c>
      <c r="F480" s="112" t="s">
        <v>654</v>
      </c>
      <c r="G480" s="123">
        <v>40695</v>
      </c>
      <c r="H480" s="55" t="str">
        <f t="shared" si="588"/>
        <v>13 AÑOS</v>
      </c>
      <c r="I480" s="57">
        <v>3170.3326204132072</v>
      </c>
      <c r="J480" s="57"/>
      <c r="K480" s="57"/>
      <c r="L480" s="74"/>
      <c r="M480" s="171">
        <v>7.7999999999999999E-4</v>
      </c>
      <c r="N480" s="81">
        <f t="shared" si="636"/>
        <v>247.28594439223016</v>
      </c>
      <c r="O480" s="57">
        <f t="shared" si="589"/>
        <v>3417.6185648054375</v>
      </c>
      <c r="P480" s="81">
        <f t="shared" si="590"/>
        <v>6835.2371296108749</v>
      </c>
      <c r="Q480" s="81">
        <f t="shared" si="591"/>
        <v>5126.427847208156</v>
      </c>
      <c r="R480" s="81">
        <f t="shared" si="592"/>
        <v>1708.8092824027187</v>
      </c>
      <c r="S480" s="81">
        <f t="shared" si="593"/>
        <v>227.84123765369583</v>
      </c>
      <c r="T480" s="57">
        <f t="shared" si="594"/>
        <v>261.53895670267741</v>
      </c>
      <c r="U480" s="81">
        <f t="shared" si="595"/>
        <v>2563.213923604078</v>
      </c>
      <c r="V480" s="57">
        <f t="shared" si="596"/>
        <v>854.40464120135937</v>
      </c>
      <c r="W480" s="101">
        <v>0.05</v>
      </c>
      <c r="X480" s="158">
        <f t="shared" si="597"/>
        <v>341.76185648054377</v>
      </c>
      <c r="Y480" s="81">
        <v>0</v>
      </c>
      <c r="Z480" s="81">
        <v>25.27</v>
      </c>
      <c r="AA480" s="81">
        <f t="shared" si="598"/>
        <v>854.40464120135937</v>
      </c>
      <c r="AB480" s="81">
        <f t="shared" si="599"/>
        <v>170.88092824027186</v>
      </c>
      <c r="AC480" s="81">
        <v>1420.53</v>
      </c>
      <c r="AD480" s="81">
        <v>626.21</v>
      </c>
      <c r="AE480" s="81">
        <v>405.84</v>
      </c>
      <c r="AF480" s="81">
        <v>0</v>
      </c>
      <c r="AG480" s="81">
        <f t="shared" si="600"/>
        <v>235.81568097157518</v>
      </c>
      <c r="AH480" s="64"/>
      <c r="AI480" s="64"/>
      <c r="AJ480" s="67">
        <v>51</v>
      </c>
      <c r="AK480" s="73" t="s">
        <v>66</v>
      </c>
      <c r="AL480" s="67">
        <v>13254</v>
      </c>
      <c r="AM480" s="72" t="s">
        <v>658</v>
      </c>
      <c r="AN480" s="112" t="s">
        <v>654</v>
      </c>
      <c r="AO480" s="138">
        <f t="shared" si="637"/>
        <v>51264.278472081562</v>
      </c>
      <c r="AP480" s="65">
        <f t="shared" si="638"/>
        <v>17088.092824027186</v>
      </c>
      <c r="AQ480" s="65">
        <f t="shared" si="639"/>
        <v>3417.6185648054379</v>
      </c>
      <c r="AR480" s="65">
        <f t="shared" si="640"/>
        <v>0</v>
      </c>
      <c r="AS480" s="65">
        <f t="shared" si="641"/>
        <v>252.7</v>
      </c>
      <c r="AT480" s="65">
        <f t="shared" si="642"/>
        <v>8544.046412013593</v>
      </c>
      <c r="AU480" s="65">
        <f t="shared" si="643"/>
        <v>1708.8092824027185</v>
      </c>
      <c r="AV480" s="65">
        <f t="shared" si="644"/>
        <v>14205.3</v>
      </c>
      <c r="AW480" s="65">
        <f t="shared" si="645"/>
        <v>6262.1</v>
      </c>
      <c r="AX480" s="65">
        <f t="shared" si="646"/>
        <v>4058.3999999999996</v>
      </c>
      <c r="AY480" s="65">
        <f t="shared" si="647"/>
        <v>0</v>
      </c>
      <c r="AZ480" s="65">
        <f t="shared" si="648"/>
        <v>2358.1568097157519</v>
      </c>
      <c r="BB480" s="64"/>
      <c r="BC480" s="66"/>
      <c r="BD480" s="66"/>
      <c r="BE480" s="66"/>
    </row>
    <row r="481" spans="2:57" ht="21" customHeight="1" x14ac:dyDescent="0.2">
      <c r="B481" s="67">
        <v>52</v>
      </c>
      <c r="C481" s="73" t="s">
        <v>66</v>
      </c>
      <c r="D481" s="67">
        <v>13281</v>
      </c>
      <c r="E481" s="72" t="s">
        <v>659</v>
      </c>
      <c r="F481" s="112" t="s">
        <v>654</v>
      </c>
      <c r="G481" s="123">
        <v>41813</v>
      </c>
      <c r="H481" s="56" t="str">
        <f t="shared" si="588"/>
        <v>10 AÑOS</v>
      </c>
      <c r="I481" s="57">
        <v>3170.3326204132072</v>
      </c>
      <c r="J481" s="58"/>
      <c r="K481" s="58"/>
      <c r="L481" s="59"/>
      <c r="M481" s="60">
        <v>7.7999999999999999E-4</v>
      </c>
      <c r="N481" s="61">
        <f t="shared" si="636"/>
        <v>247.28594439223016</v>
      </c>
      <c r="O481" s="58">
        <f t="shared" si="589"/>
        <v>3417.6185648054375</v>
      </c>
      <c r="P481" s="61">
        <f t="shared" si="590"/>
        <v>6835.2371296108749</v>
      </c>
      <c r="Q481" s="61">
        <f t="shared" si="591"/>
        <v>5126.427847208156</v>
      </c>
      <c r="R481" s="61">
        <f t="shared" si="592"/>
        <v>1708.8092824027187</v>
      </c>
      <c r="S481" s="61">
        <f t="shared" si="593"/>
        <v>227.84123765369583</v>
      </c>
      <c r="T481" s="58">
        <f t="shared" si="594"/>
        <v>261.53895670267741</v>
      </c>
      <c r="U481" s="61">
        <f t="shared" si="595"/>
        <v>2563.213923604078</v>
      </c>
      <c r="V481" s="58">
        <f t="shared" si="596"/>
        <v>854.40464120135937</v>
      </c>
      <c r="W481" s="101">
        <v>0.05</v>
      </c>
      <c r="X481" s="63">
        <f t="shared" si="597"/>
        <v>341.76185648054377</v>
      </c>
      <c r="Y481" s="61">
        <v>0</v>
      </c>
      <c r="Z481" s="61">
        <v>25.27</v>
      </c>
      <c r="AA481" s="61">
        <f t="shared" si="598"/>
        <v>854.40464120135937</v>
      </c>
      <c r="AB481" s="61">
        <f t="shared" si="599"/>
        <v>170.88092824027186</v>
      </c>
      <c r="AC481" s="61">
        <v>1420.53</v>
      </c>
      <c r="AD481" s="61">
        <v>626.21</v>
      </c>
      <c r="AE481" s="61">
        <v>405.84</v>
      </c>
      <c r="AF481" s="61">
        <v>0</v>
      </c>
      <c r="AG481" s="61">
        <f t="shared" si="600"/>
        <v>235.81568097157518</v>
      </c>
      <c r="AH481" s="64"/>
      <c r="AI481" s="64"/>
      <c r="AJ481" s="67">
        <v>52</v>
      </c>
      <c r="AK481" s="73" t="s">
        <v>66</v>
      </c>
      <c r="AL481" s="67">
        <v>13281</v>
      </c>
      <c r="AM481" s="72" t="s">
        <v>659</v>
      </c>
      <c r="AN481" s="112" t="s">
        <v>654</v>
      </c>
      <c r="AO481" s="138">
        <f t="shared" si="637"/>
        <v>51264.278472081562</v>
      </c>
      <c r="AP481" s="65">
        <f t="shared" si="638"/>
        <v>17088.092824027186</v>
      </c>
      <c r="AQ481" s="65">
        <f t="shared" si="639"/>
        <v>3417.6185648054379</v>
      </c>
      <c r="AR481" s="65">
        <f t="shared" si="640"/>
        <v>0</v>
      </c>
      <c r="AS481" s="65">
        <f t="shared" si="641"/>
        <v>252.7</v>
      </c>
      <c r="AT481" s="65">
        <f t="shared" si="642"/>
        <v>8544.046412013593</v>
      </c>
      <c r="AU481" s="65">
        <f t="shared" si="643"/>
        <v>1708.8092824027185</v>
      </c>
      <c r="AV481" s="65">
        <f t="shared" si="644"/>
        <v>14205.3</v>
      </c>
      <c r="AW481" s="65">
        <f t="shared" si="645"/>
        <v>6262.1</v>
      </c>
      <c r="AX481" s="65">
        <f t="shared" si="646"/>
        <v>4058.3999999999996</v>
      </c>
      <c r="AY481" s="65">
        <f t="shared" si="647"/>
        <v>0</v>
      </c>
      <c r="AZ481" s="65">
        <f t="shared" si="648"/>
        <v>2358.1568097157519</v>
      </c>
      <c r="BB481" s="64"/>
      <c r="BC481" s="66"/>
      <c r="BD481" s="66"/>
      <c r="BE481" s="66"/>
    </row>
    <row r="482" spans="2:57" ht="21" customHeight="1" x14ac:dyDescent="0.2">
      <c r="B482" s="67">
        <v>53</v>
      </c>
      <c r="C482" s="73" t="s">
        <v>66</v>
      </c>
      <c r="D482" s="67">
        <v>13363</v>
      </c>
      <c r="E482" s="72" t="s">
        <v>660</v>
      </c>
      <c r="F482" s="112" t="s">
        <v>654</v>
      </c>
      <c r="G482" s="123">
        <v>43885</v>
      </c>
      <c r="H482" s="56" t="str">
        <f t="shared" si="588"/>
        <v>4 AÑOS</v>
      </c>
      <c r="I482" s="57">
        <v>3170.3326204132072</v>
      </c>
      <c r="J482" s="58"/>
      <c r="K482" s="58"/>
      <c r="L482" s="59"/>
      <c r="M482" s="60">
        <v>7.7999999999999999E-4</v>
      </c>
      <c r="N482" s="61">
        <f t="shared" si="636"/>
        <v>247.28594439223016</v>
      </c>
      <c r="O482" s="58">
        <f t="shared" si="589"/>
        <v>3417.6185648054375</v>
      </c>
      <c r="P482" s="61">
        <f t="shared" si="590"/>
        <v>6835.2371296108749</v>
      </c>
      <c r="Q482" s="61">
        <f t="shared" si="591"/>
        <v>5126.427847208156</v>
      </c>
      <c r="R482" s="61">
        <f t="shared" si="592"/>
        <v>1708.8092824027187</v>
      </c>
      <c r="S482" s="61">
        <f t="shared" si="593"/>
        <v>227.84123765369583</v>
      </c>
      <c r="T482" s="58">
        <f t="shared" si="594"/>
        <v>261.53895670267741</v>
      </c>
      <c r="U482" s="61">
        <f t="shared" si="595"/>
        <v>2563.213923604078</v>
      </c>
      <c r="V482" s="58">
        <f t="shared" si="596"/>
        <v>854.40464120135937</v>
      </c>
      <c r="W482" s="101">
        <v>0</v>
      </c>
      <c r="X482" s="63">
        <f t="shared" si="597"/>
        <v>0</v>
      </c>
      <c r="Y482" s="61">
        <v>0</v>
      </c>
      <c r="Z482" s="61">
        <v>25.27</v>
      </c>
      <c r="AA482" s="61">
        <f t="shared" si="598"/>
        <v>854.40464120135937</v>
      </c>
      <c r="AB482" s="61">
        <f t="shared" si="599"/>
        <v>170.88092824027186</v>
      </c>
      <c r="AC482" s="61">
        <v>1420.53</v>
      </c>
      <c r="AD482" s="61">
        <v>626.21</v>
      </c>
      <c r="AE482" s="61">
        <v>405.84</v>
      </c>
      <c r="AF482" s="61">
        <v>0</v>
      </c>
      <c r="AG482" s="61">
        <f t="shared" si="600"/>
        <v>235.81568097157518</v>
      </c>
      <c r="AH482" s="64"/>
      <c r="AI482" s="64"/>
      <c r="AJ482" s="67">
        <v>53</v>
      </c>
      <c r="AK482" s="73" t="s">
        <v>66</v>
      </c>
      <c r="AL482" s="67">
        <v>13363</v>
      </c>
      <c r="AM482" s="72" t="s">
        <v>660</v>
      </c>
      <c r="AN482" s="112" t="s">
        <v>654</v>
      </c>
      <c r="AO482" s="138">
        <f t="shared" si="637"/>
        <v>51264.278472081562</v>
      </c>
      <c r="AP482" s="65">
        <f t="shared" si="638"/>
        <v>17088.092824027186</v>
      </c>
      <c r="AQ482" s="65">
        <f t="shared" si="639"/>
        <v>0</v>
      </c>
      <c r="AR482" s="65">
        <f t="shared" si="640"/>
        <v>0</v>
      </c>
      <c r="AS482" s="65">
        <f t="shared" si="641"/>
        <v>252.7</v>
      </c>
      <c r="AT482" s="65">
        <f t="shared" si="642"/>
        <v>8544.046412013593</v>
      </c>
      <c r="AU482" s="65">
        <f t="shared" si="643"/>
        <v>1708.8092824027185</v>
      </c>
      <c r="AV482" s="65">
        <f t="shared" si="644"/>
        <v>14205.3</v>
      </c>
      <c r="AW482" s="65">
        <f t="shared" si="645"/>
        <v>6262.1</v>
      </c>
      <c r="AX482" s="65">
        <f t="shared" si="646"/>
        <v>4058.3999999999996</v>
      </c>
      <c r="AY482" s="65">
        <f t="shared" si="647"/>
        <v>0</v>
      </c>
      <c r="AZ482" s="65">
        <f t="shared" si="648"/>
        <v>2358.1568097157519</v>
      </c>
      <c r="BB482" s="64"/>
      <c r="BC482" s="66"/>
      <c r="BD482" s="66"/>
      <c r="BE482" s="66"/>
    </row>
    <row r="483" spans="2:57" ht="21" customHeight="1" x14ac:dyDescent="0.2">
      <c r="B483" s="67">
        <v>54</v>
      </c>
      <c r="C483" s="73" t="s">
        <v>66</v>
      </c>
      <c r="D483" s="67">
        <v>13370</v>
      </c>
      <c r="E483" s="72" t="s">
        <v>661</v>
      </c>
      <c r="F483" s="112" t="s">
        <v>654</v>
      </c>
      <c r="G483" s="123">
        <v>44212</v>
      </c>
      <c r="H483" s="56" t="str">
        <f t="shared" si="588"/>
        <v>3 AÑOS</v>
      </c>
      <c r="I483" s="57">
        <v>3170.3326204132072</v>
      </c>
      <c r="J483" s="58"/>
      <c r="K483" s="58"/>
      <c r="L483" s="59"/>
      <c r="M483" s="60">
        <v>7.7999999999999999E-4</v>
      </c>
      <c r="N483" s="61">
        <f t="shared" si="636"/>
        <v>247.28594439223016</v>
      </c>
      <c r="O483" s="58">
        <f t="shared" si="589"/>
        <v>3417.6185648054375</v>
      </c>
      <c r="P483" s="61">
        <f t="shared" si="590"/>
        <v>6835.2371296108749</v>
      </c>
      <c r="Q483" s="61">
        <f t="shared" si="591"/>
        <v>5126.427847208156</v>
      </c>
      <c r="R483" s="61">
        <f t="shared" si="592"/>
        <v>1708.8092824027187</v>
      </c>
      <c r="S483" s="61">
        <f t="shared" si="593"/>
        <v>227.84123765369583</v>
      </c>
      <c r="T483" s="58">
        <f t="shared" si="594"/>
        <v>261.53895670267741</v>
      </c>
      <c r="U483" s="61">
        <f t="shared" si="595"/>
        <v>2563.213923604078</v>
      </c>
      <c r="V483" s="58">
        <f t="shared" si="596"/>
        <v>854.40464120135937</v>
      </c>
      <c r="W483" s="101">
        <v>0</v>
      </c>
      <c r="X483" s="63">
        <f t="shared" si="597"/>
        <v>0</v>
      </c>
      <c r="Y483" s="61">
        <v>0</v>
      </c>
      <c r="Z483" s="61">
        <v>25.27</v>
      </c>
      <c r="AA483" s="61">
        <f t="shared" si="598"/>
        <v>854.40464120135937</v>
      </c>
      <c r="AB483" s="61">
        <f t="shared" si="599"/>
        <v>170.88092824027186</v>
      </c>
      <c r="AC483" s="61">
        <v>1420.53</v>
      </c>
      <c r="AD483" s="61">
        <v>626.21</v>
      </c>
      <c r="AE483" s="61">
        <v>405.84</v>
      </c>
      <c r="AF483" s="61">
        <v>0</v>
      </c>
      <c r="AG483" s="61">
        <f t="shared" si="600"/>
        <v>235.81568097157518</v>
      </c>
      <c r="AH483" s="64"/>
      <c r="AI483" s="64"/>
      <c r="AJ483" s="67">
        <v>54</v>
      </c>
      <c r="AK483" s="73" t="s">
        <v>66</v>
      </c>
      <c r="AL483" s="67">
        <v>13370</v>
      </c>
      <c r="AM483" s="72" t="s">
        <v>661</v>
      </c>
      <c r="AN483" s="112" t="s">
        <v>654</v>
      </c>
      <c r="AO483" s="138">
        <f t="shared" si="637"/>
        <v>51264.278472081562</v>
      </c>
      <c r="AP483" s="65">
        <f t="shared" si="638"/>
        <v>17088.092824027186</v>
      </c>
      <c r="AQ483" s="65">
        <f t="shared" si="639"/>
        <v>0</v>
      </c>
      <c r="AR483" s="65">
        <f t="shared" si="640"/>
        <v>0</v>
      </c>
      <c r="AS483" s="65">
        <f t="shared" si="641"/>
        <v>252.7</v>
      </c>
      <c r="AT483" s="65">
        <f t="shared" si="642"/>
        <v>8544.046412013593</v>
      </c>
      <c r="AU483" s="65">
        <f t="shared" si="643"/>
        <v>1708.8092824027185</v>
      </c>
      <c r="AV483" s="65">
        <f t="shared" si="644"/>
        <v>14205.3</v>
      </c>
      <c r="AW483" s="65">
        <f t="shared" si="645"/>
        <v>6262.1</v>
      </c>
      <c r="AX483" s="65">
        <f t="shared" si="646"/>
        <v>4058.3999999999996</v>
      </c>
      <c r="AY483" s="65">
        <f t="shared" si="647"/>
        <v>0</v>
      </c>
      <c r="AZ483" s="65">
        <f t="shared" si="648"/>
        <v>2358.1568097157519</v>
      </c>
      <c r="BB483" s="64"/>
      <c r="BC483" s="66"/>
      <c r="BD483" s="66"/>
      <c r="BE483" s="66"/>
    </row>
    <row r="484" spans="2:57" ht="21" customHeight="1" x14ac:dyDescent="0.2">
      <c r="B484" s="67">
        <v>55</v>
      </c>
      <c r="C484" s="73" t="s">
        <v>66</v>
      </c>
      <c r="D484" s="67">
        <v>13136</v>
      </c>
      <c r="E484" s="72" t="s">
        <v>662</v>
      </c>
      <c r="F484" s="112" t="s">
        <v>654</v>
      </c>
      <c r="G484" s="123">
        <v>36923</v>
      </c>
      <c r="H484" s="56" t="str">
        <f t="shared" si="588"/>
        <v>23 AÑOS</v>
      </c>
      <c r="I484" s="57">
        <v>3170.3326204132072</v>
      </c>
      <c r="J484" s="58"/>
      <c r="K484" s="58"/>
      <c r="L484" s="59"/>
      <c r="M484" s="60">
        <v>7.7999999999999999E-4</v>
      </c>
      <c r="N484" s="61">
        <f t="shared" si="636"/>
        <v>247.28594439223016</v>
      </c>
      <c r="O484" s="58">
        <f t="shared" si="589"/>
        <v>3417.6185648054375</v>
      </c>
      <c r="P484" s="61">
        <f t="shared" si="590"/>
        <v>6835.2371296108749</v>
      </c>
      <c r="Q484" s="61">
        <f t="shared" si="591"/>
        <v>5126.427847208156</v>
      </c>
      <c r="R484" s="61">
        <f t="shared" si="592"/>
        <v>1708.8092824027187</v>
      </c>
      <c r="S484" s="61">
        <f t="shared" si="593"/>
        <v>227.84123765369583</v>
      </c>
      <c r="T484" s="58">
        <f t="shared" si="594"/>
        <v>261.53895670267741</v>
      </c>
      <c r="U484" s="61">
        <f t="shared" si="595"/>
        <v>2563.213923604078</v>
      </c>
      <c r="V484" s="58">
        <f t="shared" si="596"/>
        <v>854.40464120135937</v>
      </c>
      <c r="W484" s="101">
        <v>7.4999999999999997E-2</v>
      </c>
      <c r="X484" s="63">
        <f t="shared" si="597"/>
        <v>512.6427847208156</v>
      </c>
      <c r="Y484" s="61">
        <v>0</v>
      </c>
      <c r="Z484" s="61">
        <v>25.27</v>
      </c>
      <c r="AA484" s="61">
        <f t="shared" si="598"/>
        <v>854.40464120135937</v>
      </c>
      <c r="AB484" s="61">
        <f t="shared" si="599"/>
        <v>170.88092824027186</v>
      </c>
      <c r="AC484" s="61">
        <v>1420.53</v>
      </c>
      <c r="AD484" s="61">
        <v>626.21</v>
      </c>
      <c r="AE484" s="61">
        <v>405.84</v>
      </c>
      <c r="AF484" s="61">
        <v>0</v>
      </c>
      <c r="AG484" s="61">
        <f t="shared" si="600"/>
        <v>235.81568097157518</v>
      </c>
      <c r="AH484" s="64"/>
      <c r="AI484" s="64"/>
      <c r="AJ484" s="67">
        <v>55</v>
      </c>
      <c r="AK484" s="73" t="s">
        <v>66</v>
      </c>
      <c r="AL484" s="67">
        <v>13136</v>
      </c>
      <c r="AM484" s="72" t="s">
        <v>662</v>
      </c>
      <c r="AN484" s="112" t="s">
        <v>654</v>
      </c>
      <c r="AO484" s="138">
        <f t="shared" si="637"/>
        <v>51264.278472081562</v>
      </c>
      <c r="AP484" s="65">
        <f t="shared" si="638"/>
        <v>17088.092824027186</v>
      </c>
      <c r="AQ484" s="65">
        <f t="shared" si="639"/>
        <v>5126.427847208156</v>
      </c>
      <c r="AR484" s="65">
        <f t="shared" si="640"/>
        <v>0</v>
      </c>
      <c r="AS484" s="65">
        <f t="shared" si="641"/>
        <v>252.7</v>
      </c>
      <c r="AT484" s="65">
        <f t="shared" si="642"/>
        <v>8544.046412013593</v>
      </c>
      <c r="AU484" s="65">
        <f t="shared" si="643"/>
        <v>1708.8092824027185</v>
      </c>
      <c r="AV484" s="65">
        <f t="shared" si="644"/>
        <v>14205.3</v>
      </c>
      <c r="AW484" s="65">
        <f t="shared" si="645"/>
        <v>6262.1</v>
      </c>
      <c r="AX484" s="65">
        <f t="shared" si="646"/>
        <v>4058.3999999999996</v>
      </c>
      <c r="AY484" s="65">
        <f t="shared" si="647"/>
        <v>0</v>
      </c>
      <c r="AZ484" s="65">
        <f t="shared" si="648"/>
        <v>2358.1568097157519</v>
      </c>
      <c r="BB484" s="64"/>
      <c r="BC484" s="66"/>
      <c r="BD484" s="66"/>
      <c r="BE484" s="66"/>
    </row>
    <row r="485" spans="2:57" ht="21" customHeight="1" x14ac:dyDescent="0.2">
      <c r="B485" s="67">
        <v>56</v>
      </c>
      <c r="C485" s="73" t="s">
        <v>66</v>
      </c>
      <c r="D485" s="67">
        <v>13031</v>
      </c>
      <c r="E485" s="72" t="s">
        <v>663</v>
      </c>
      <c r="F485" s="112" t="s">
        <v>654</v>
      </c>
      <c r="G485" s="123">
        <v>34071</v>
      </c>
      <c r="H485" s="56" t="str">
        <f t="shared" si="588"/>
        <v>31 AÑOS</v>
      </c>
      <c r="I485" s="57">
        <v>3170.3326204132072</v>
      </c>
      <c r="J485" s="58"/>
      <c r="K485" s="58"/>
      <c r="L485" s="59"/>
      <c r="M485" s="60">
        <v>7.7999999999999999E-4</v>
      </c>
      <c r="N485" s="61">
        <f t="shared" si="636"/>
        <v>247.28594439223016</v>
      </c>
      <c r="O485" s="58">
        <f t="shared" si="589"/>
        <v>3417.6185648054375</v>
      </c>
      <c r="P485" s="61">
        <f t="shared" si="590"/>
        <v>6835.2371296108749</v>
      </c>
      <c r="Q485" s="61">
        <f t="shared" si="591"/>
        <v>5126.427847208156</v>
      </c>
      <c r="R485" s="61">
        <f t="shared" si="592"/>
        <v>1708.8092824027187</v>
      </c>
      <c r="S485" s="61">
        <f t="shared" si="593"/>
        <v>227.84123765369583</v>
      </c>
      <c r="T485" s="58">
        <f t="shared" si="594"/>
        <v>261.53895670267741</v>
      </c>
      <c r="U485" s="61">
        <f t="shared" si="595"/>
        <v>2563.213923604078</v>
      </c>
      <c r="V485" s="58">
        <f t="shared" si="596"/>
        <v>854.40464120135937</v>
      </c>
      <c r="W485" s="101">
        <v>7.4999999999999997E-2</v>
      </c>
      <c r="X485" s="63">
        <f t="shared" si="597"/>
        <v>512.6427847208156</v>
      </c>
      <c r="Y485" s="61">
        <v>0</v>
      </c>
      <c r="Z485" s="61">
        <v>25.27</v>
      </c>
      <c r="AA485" s="61">
        <f t="shared" si="598"/>
        <v>854.40464120135937</v>
      </c>
      <c r="AB485" s="61">
        <f t="shared" si="599"/>
        <v>170.88092824027186</v>
      </c>
      <c r="AC485" s="61">
        <v>1420.53</v>
      </c>
      <c r="AD485" s="61">
        <v>626.21</v>
      </c>
      <c r="AE485" s="61">
        <v>405.84</v>
      </c>
      <c r="AF485" s="61">
        <v>0</v>
      </c>
      <c r="AG485" s="61">
        <f t="shared" si="600"/>
        <v>235.81568097157518</v>
      </c>
      <c r="AH485" s="64"/>
      <c r="AI485" s="64"/>
      <c r="AJ485" s="67">
        <v>56</v>
      </c>
      <c r="AK485" s="73" t="s">
        <v>66</v>
      </c>
      <c r="AL485" s="67">
        <v>13031</v>
      </c>
      <c r="AM485" s="72" t="s">
        <v>663</v>
      </c>
      <c r="AN485" s="112" t="s">
        <v>654</v>
      </c>
      <c r="AO485" s="138">
        <f t="shared" si="637"/>
        <v>51264.278472081562</v>
      </c>
      <c r="AP485" s="65">
        <f t="shared" si="638"/>
        <v>17088.092824027186</v>
      </c>
      <c r="AQ485" s="65">
        <f t="shared" si="639"/>
        <v>5126.427847208156</v>
      </c>
      <c r="AR485" s="65">
        <f t="shared" si="640"/>
        <v>0</v>
      </c>
      <c r="AS485" s="65">
        <f t="shared" si="641"/>
        <v>252.7</v>
      </c>
      <c r="AT485" s="65">
        <f t="shared" si="642"/>
        <v>8544.046412013593</v>
      </c>
      <c r="AU485" s="65">
        <f t="shared" si="643"/>
        <v>1708.8092824027185</v>
      </c>
      <c r="AV485" s="65">
        <f t="shared" si="644"/>
        <v>14205.3</v>
      </c>
      <c r="AW485" s="65">
        <f t="shared" si="645"/>
        <v>6262.1</v>
      </c>
      <c r="AX485" s="65">
        <f t="shared" si="646"/>
        <v>4058.3999999999996</v>
      </c>
      <c r="AY485" s="65">
        <f t="shared" si="647"/>
        <v>0</v>
      </c>
      <c r="AZ485" s="65">
        <f t="shared" si="648"/>
        <v>2358.1568097157519</v>
      </c>
      <c r="BB485" s="64"/>
      <c r="BC485" s="66"/>
      <c r="BD485" s="66"/>
      <c r="BE485" s="66"/>
    </row>
    <row r="486" spans="2:57" ht="21" customHeight="1" x14ac:dyDescent="0.2">
      <c r="B486" s="67">
        <v>57</v>
      </c>
      <c r="C486" s="73" t="s">
        <v>66</v>
      </c>
      <c r="D486" s="67">
        <v>13348</v>
      </c>
      <c r="E486" s="72" t="s">
        <v>664</v>
      </c>
      <c r="F486" s="112" t="s">
        <v>654</v>
      </c>
      <c r="G486" s="123">
        <v>43578</v>
      </c>
      <c r="H486" s="56" t="str">
        <f t="shared" si="588"/>
        <v>5 AÑOS</v>
      </c>
      <c r="I486" s="57">
        <v>3170.3326204132072</v>
      </c>
      <c r="J486" s="58"/>
      <c r="K486" s="58"/>
      <c r="L486" s="59"/>
      <c r="M486" s="60">
        <v>7.7999999999999999E-4</v>
      </c>
      <c r="N486" s="61">
        <f t="shared" si="636"/>
        <v>247.28594439223016</v>
      </c>
      <c r="O486" s="58">
        <f t="shared" si="589"/>
        <v>3417.6185648054375</v>
      </c>
      <c r="P486" s="61">
        <f t="shared" si="590"/>
        <v>6835.2371296108749</v>
      </c>
      <c r="Q486" s="61">
        <f t="shared" si="591"/>
        <v>5126.427847208156</v>
      </c>
      <c r="R486" s="61">
        <f t="shared" si="592"/>
        <v>1708.8092824027187</v>
      </c>
      <c r="S486" s="61">
        <f t="shared" si="593"/>
        <v>227.84123765369583</v>
      </c>
      <c r="T486" s="58">
        <f t="shared" si="594"/>
        <v>261.53895670267741</v>
      </c>
      <c r="U486" s="61">
        <f t="shared" si="595"/>
        <v>2563.213923604078</v>
      </c>
      <c r="V486" s="58">
        <f t="shared" si="596"/>
        <v>854.40464120135937</v>
      </c>
      <c r="W486" s="101">
        <v>2.5000000000000001E-2</v>
      </c>
      <c r="X486" s="63">
        <f t="shared" si="597"/>
        <v>170.88092824027188</v>
      </c>
      <c r="Y486" s="61">
        <v>0</v>
      </c>
      <c r="Z486" s="61">
        <v>25.27</v>
      </c>
      <c r="AA486" s="61">
        <f t="shared" si="598"/>
        <v>854.40464120135937</v>
      </c>
      <c r="AB486" s="61">
        <f t="shared" si="599"/>
        <v>170.88092824027186</v>
      </c>
      <c r="AC486" s="61">
        <v>1420.53</v>
      </c>
      <c r="AD486" s="61">
        <v>626.21</v>
      </c>
      <c r="AE486" s="61">
        <v>405.84</v>
      </c>
      <c r="AF486" s="61">
        <v>0</v>
      </c>
      <c r="AG486" s="61">
        <f t="shared" si="600"/>
        <v>235.81568097157518</v>
      </c>
      <c r="AH486" s="64"/>
      <c r="AI486" s="64"/>
      <c r="AJ486" s="67">
        <v>57</v>
      </c>
      <c r="AK486" s="73" t="s">
        <v>66</v>
      </c>
      <c r="AL486" s="67">
        <v>13348</v>
      </c>
      <c r="AM486" s="72" t="s">
        <v>664</v>
      </c>
      <c r="AN486" s="112" t="s">
        <v>654</v>
      </c>
      <c r="AO486" s="138">
        <f t="shared" si="637"/>
        <v>51264.278472081562</v>
      </c>
      <c r="AP486" s="65">
        <f t="shared" si="638"/>
        <v>17088.092824027186</v>
      </c>
      <c r="AQ486" s="65">
        <f t="shared" si="639"/>
        <v>1708.809282402719</v>
      </c>
      <c r="AR486" s="65">
        <f t="shared" si="640"/>
        <v>0</v>
      </c>
      <c r="AS486" s="65">
        <f t="shared" si="641"/>
        <v>252.7</v>
      </c>
      <c r="AT486" s="65">
        <f t="shared" si="642"/>
        <v>8544.046412013593</v>
      </c>
      <c r="AU486" s="65">
        <f t="shared" si="643"/>
        <v>1708.8092824027185</v>
      </c>
      <c r="AV486" s="65">
        <f t="shared" si="644"/>
        <v>14205.3</v>
      </c>
      <c r="AW486" s="65">
        <f t="shared" si="645"/>
        <v>6262.1</v>
      </c>
      <c r="AX486" s="65">
        <f t="shared" si="646"/>
        <v>4058.3999999999996</v>
      </c>
      <c r="AY486" s="65">
        <f t="shared" si="647"/>
        <v>0</v>
      </c>
      <c r="AZ486" s="65">
        <f t="shared" si="648"/>
        <v>2358.1568097157519</v>
      </c>
      <c r="BB486" s="64"/>
      <c r="BC486" s="66"/>
      <c r="BD486" s="66"/>
      <c r="BE486" s="66"/>
    </row>
    <row r="487" spans="2:57" ht="21" customHeight="1" x14ac:dyDescent="0.2">
      <c r="B487" s="67">
        <v>58</v>
      </c>
      <c r="C487" s="73" t="s">
        <v>66</v>
      </c>
      <c r="D487" s="67">
        <v>13336</v>
      </c>
      <c r="E487" s="72" t="s">
        <v>665</v>
      </c>
      <c r="F487" s="112" t="s">
        <v>654</v>
      </c>
      <c r="G487" s="123">
        <v>43147</v>
      </c>
      <c r="H487" s="56" t="str">
        <f t="shared" si="588"/>
        <v>6 AÑOS</v>
      </c>
      <c r="I487" s="57">
        <v>3170.3326204132072</v>
      </c>
      <c r="J487" s="58"/>
      <c r="K487" s="58"/>
      <c r="L487" s="59"/>
      <c r="M487" s="60">
        <v>7.7999999999999999E-4</v>
      </c>
      <c r="N487" s="61">
        <f t="shared" si="636"/>
        <v>247.28594439223016</v>
      </c>
      <c r="O487" s="58">
        <f t="shared" si="589"/>
        <v>3417.6185648054375</v>
      </c>
      <c r="P487" s="61">
        <f t="shared" si="590"/>
        <v>6835.2371296108749</v>
      </c>
      <c r="Q487" s="61">
        <f t="shared" si="591"/>
        <v>5126.427847208156</v>
      </c>
      <c r="R487" s="61">
        <f t="shared" si="592"/>
        <v>1708.8092824027187</v>
      </c>
      <c r="S487" s="61">
        <f t="shared" si="593"/>
        <v>227.84123765369583</v>
      </c>
      <c r="T487" s="58">
        <f t="shared" si="594"/>
        <v>261.53895670267741</v>
      </c>
      <c r="U487" s="61">
        <f t="shared" si="595"/>
        <v>2563.213923604078</v>
      </c>
      <c r="V487" s="58">
        <f t="shared" si="596"/>
        <v>854.40464120135937</v>
      </c>
      <c r="W487" s="101">
        <v>2.5000000000000001E-2</v>
      </c>
      <c r="X487" s="63">
        <f t="shared" si="597"/>
        <v>170.88092824027188</v>
      </c>
      <c r="Y487" s="61">
        <v>0</v>
      </c>
      <c r="Z487" s="61">
        <v>25.27</v>
      </c>
      <c r="AA487" s="61">
        <f t="shared" si="598"/>
        <v>854.40464120135937</v>
      </c>
      <c r="AB487" s="61">
        <f t="shared" si="599"/>
        <v>170.88092824027186</v>
      </c>
      <c r="AC487" s="61">
        <v>1420.53</v>
      </c>
      <c r="AD487" s="61">
        <v>626.21</v>
      </c>
      <c r="AE487" s="61">
        <v>405.84</v>
      </c>
      <c r="AF487" s="61">
        <v>0</v>
      </c>
      <c r="AG487" s="61">
        <f t="shared" si="600"/>
        <v>235.81568097157518</v>
      </c>
      <c r="AH487" s="64"/>
      <c r="AI487" s="64"/>
      <c r="AJ487" s="67">
        <v>58</v>
      </c>
      <c r="AK487" s="73" t="s">
        <v>66</v>
      </c>
      <c r="AL487" s="67">
        <v>13336</v>
      </c>
      <c r="AM487" s="72" t="s">
        <v>665</v>
      </c>
      <c r="AN487" s="112" t="s">
        <v>654</v>
      </c>
      <c r="AO487" s="138">
        <f t="shared" si="637"/>
        <v>51264.278472081562</v>
      </c>
      <c r="AP487" s="65">
        <f t="shared" si="638"/>
        <v>17088.092824027186</v>
      </c>
      <c r="AQ487" s="65">
        <f t="shared" si="639"/>
        <v>1708.809282402719</v>
      </c>
      <c r="AR487" s="65">
        <f t="shared" si="640"/>
        <v>0</v>
      </c>
      <c r="AS487" s="65">
        <f t="shared" si="641"/>
        <v>252.7</v>
      </c>
      <c r="AT487" s="65">
        <f t="shared" si="642"/>
        <v>8544.046412013593</v>
      </c>
      <c r="AU487" s="65">
        <f t="shared" si="643"/>
        <v>1708.8092824027185</v>
      </c>
      <c r="AV487" s="65">
        <f t="shared" si="644"/>
        <v>14205.3</v>
      </c>
      <c r="AW487" s="65">
        <f t="shared" si="645"/>
        <v>6262.1</v>
      </c>
      <c r="AX487" s="65">
        <f t="shared" si="646"/>
        <v>4058.3999999999996</v>
      </c>
      <c r="AY487" s="65">
        <f t="shared" si="647"/>
        <v>0</v>
      </c>
      <c r="AZ487" s="65">
        <f t="shared" si="648"/>
        <v>2358.1568097157519</v>
      </c>
      <c r="BB487" s="64"/>
      <c r="BC487" s="66"/>
      <c r="BD487" s="66"/>
      <c r="BE487" s="66"/>
    </row>
    <row r="488" spans="2:57" ht="21" customHeight="1" x14ac:dyDescent="0.2">
      <c r="B488" s="67">
        <v>59</v>
      </c>
      <c r="C488" s="73" t="s">
        <v>66</v>
      </c>
      <c r="D488" s="67">
        <v>13271</v>
      </c>
      <c r="E488" s="72" t="s">
        <v>666</v>
      </c>
      <c r="F488" s="112" t="s">
        <v>654</v>
      </c>
      <c r="G488" s="123">
        <v>41471</v>
      </c>
      <c r="H488" s="56" t="str">
        <f t="shared" si="588"/>
        <v>11 AÑOS</v>
      </c>
      <c r="I488" s="57">
        <v>3170.3326204132072</v>
      </c>
      <c r="J488" s="58"/>
      <c r="K488" s="58"/>
      <c r="L488" s="59"/>
      <c r="M488" s="60">
        <v>7.7999999999999999E-4</v>
      </c>
      <c r="N488" s="61">
        <f t="shared" si="636"/>
        <v>247.28594439223016</v>
      </c>
      <c r="O488" s="58">
        <f t="shared" si="589"/>
        <v>3417.6185648054375</v>
      </c>
      <c r="P488" s="61">
        <f t="shared" si="590"/>
        <v>6835.2371296108749</v>
      </c>
      <c r="Q488" s="61">
        <f t="shared" si="591"/>
        <v>5126.427847208156</v>
      </c>
      <c r="R488" s="61">
        <f t="shared" si="592"/>
        <v>1708.8092824027187</v>
      </c>
      <c r="S488" s="61">
        <f t="shared" si="593"/>
        <v>227.84123765369583</v>
      </c>
      <c r="T488" s="58">
        <f t="shared" si="594"/>
        <v>261.53895670267741</v>
      </c>
      <c r="U488" s="61">
        <f t="shared" si="595"/>
        <v>2563.213923604078</v>
      </c>
      <c r="V488" s="58">
        <f t="shared" si="596"/>
        <v>854.40464120135937</v>
      </c>
      <c r="W488" s="101">
        <v>0.05</v>
      </c>
      <c r="X488" s="63">
        <f t="shared" si="597"/>
        <v>341.76185648054377</v>
      </c>
      <c r="Y488" s="61">
        <v>0</v>
      </c>
      <c r="Z488" s="61">
        <v>25.27</v>
      </c>
      <c r="AA488" s="61">
        <f t="shared" si="598"/>
        <v>854.40464120135937</v>
      </c>
      <c r="AB488" s="61">
        <f t="shared" si="599"/>
        <v>170.88092824027186</v>
      </c>
      <c r="AC488" s="61">
        <v>1420.53</v>
      </c>
      <c r="AD488" s="61">
        <v>626.21</v>
      </c>
      <c r="AE488" s="61">
        <v>405.84</v>
      </c>
      <c r="AF488" s="61">
        <v>0</v>
      </c>
      <c r="AG488" s="61">
        <f t="shared" si="600"/>
        <v>235.81568097157518</v>
      </c>
      <c r="AH488" s="64"/>
      <c r="AI488" s="64"/>
      <c r="AJ488" s="67">
        <v>59</v>
      </c>
      <c r="AK488" s="73" t="s">
        <v>66</v>
      </c>
      <c r="AL488" s="67">
        <v>13271</v>
      </c>
      <c r="AM488" s="72" t="s">
        <v>666</v>
      </c>
      <c r="AN488" s="112" t="s">
        <v>654</v>
      </c>
      <c r="AO488" s="138">
        <f t="shared" si="637"/>
        <v>51264.278472081562</v>
      </c>
      <c r="AP488" s="65">
        <f t="shared" si="638"/>
        <v>17088.092824027186</v>
      </c>
      <c r="AQ488" s="65">
        <f t="shared" si="639"/>
        <v>3417.6185648054379</v>
      </c>
      <c r="AR488" s="65">
        <f t="shared" si="640"/>
        <v>0</v>
      </c>
      <c r="AS488" s="65">
        <f t="shared" si="641"/>
        <v>252.7</v>
      </c>
      <c r="AT488" s="65">
        <f t="shared" si="642"/>
        <v>8544.046412013593</v>
      </c>
      <c r="AU488" s="65">
        <f t="shared" si="643"/>
        <v>1708.8092824027185</v>
      </c>
      <c r="AV488" s="65">
        <f t="shared" si="644"/>
        <v>14205.3</v>
      </c>
      <c r="AW488" s="65">
        <f t="shared" si="645"/>
        <v>6262.1</v>
      </c>
      <c r="AX488" s="65">
        <f t="shared" si="646"/>
        <v>4058.3999999999996</v>
      </c>
      <c r="AY488" s="65">
        <f t="shared" si="647"/>
        <v>0</v>
      </c>
      <c r="AZ488" s="65">
        <f t="shared" si="648"/>
        <v>2358.1568097157519</v>
      </c>
      <c r="BB488" s="64"/>
      <c r="BC488" s="66"/>
      <c r="BD488" s="66"/>
      <c r="BE488" s="66"/>
    </row>
    <row r="489" spans="2:57" ht="21" customHeight="1" x14ac:dyDescent="0.2">
      <c r="B489" s="67">
        <v>60</v>
      </c>
      <c r="C489" s="73" t="s">
        <v>66</v>
      </c>
      <c r="D489" s="67">
        <v>13185</v>
      </c>
      <c r="E489" s="72" t="s">
        <v>667</v>
      </c>
      <c r="F489" s="112" t="s">
        <v>654</v>
      </c>
      <c r="G489" s="123">
        <v>38596</v>
      </c>
      <c r="H489" s="56" t="str">
        <f t="shared" si="588"/>
        <v>19 AÑOS</v>
      </c>
      <c r="I489" s="57">
        <v>3170.3326204132072</v>
      </c>
      <c r="J489" s="58"/>
      <c r="K489" s="58"/>
      <c r="L489" s="59"/>
      <c r="M489" s="60">
        <v>7.7999999999999999E-4</v>
      </c>
      <c r="N489" s="61">
        <f t="shared" si="636"/>
        <v>247.28594439223016</v>
      </c>
      <c r="O489" s="58">
        <f t="shared" si="589"/>
        <v>3417.6185648054375</v>
      </c>
      <c r="P489" s="61">
        <f t="shared" si="590"/>
        <v>6835.2371296108749</v>
      </c>
      <c r="Q489" s="61">
        <f t="shared" si="591"/>
        <v>5126.427847208156</v>
      </c>
      <c r="R489" s="61">
        <f t="shared" si="592"/>
        <v>1708.8092824027187</v>
      </c>
      <c r="S489" s="61">
        <f t="shared" si="593"/>
        <v>227.84123765369583</v>
      </c>
      <c r="T489" s="58">
        <f t="shared" si="594"/>
        <v>261.53895670267741</v>
      </c>
      <c r="U489" s="61">
        <f t="shared" si="595"/>
        <v>2563.213923604078</v>
      </c>
      <c r="V489" s="58">
        <f t="shared" si="596"/>
        <v>854.40464120135937</v>
      </c>
      <c r="W489" s="101">
        <v>7.4999999999999997E-2</v>
      </c>
      <c r="X489" s="63">
        <f t="shared" si="597"/>
        <v>512.6427847208156</v>
      </c>
      <c r="Y489" s="61">
        <v>0</v>
      </c>
      <c r="Z489" s="61">
        <v>25.27</v>
      </c>
      <c r="AA489" s="61">
        <f t="shared" si="598"/>
        <v>854.40464120135937</v>
      </c>
      <c r="AB489" s="61">
        <f t="shared" si="599"/>
        <v>170.88092824027186</v>
      </c>
      <c r="AC489" s="61">
        <v>1420.53</v>
      </c>
      <c r="AD489" s="61">
        <v>626.21</v>
      </c>
      <c r="AE489" s="61">
        <v>405.84</v>
      </c>
      <c r="AF489" s="61">
        <v>0</v>
      </c>
      <c r="AG489" s="61">
        <f t="shared" si="600"/>
        <v>235.81568097157518</v>
      </c>
      <c r="AH489" s="64"/>
      <c r="AI489" s="64"/>
      <c r="AJ489" s="67">
        <v>60</v>
      </c>
      <c r="AK489" s="73" t="s">
        <v>66</v>
      </c>
      <c r="AL489" s="67">
        <v>13185</v>
      </c>
      <c r="AM489" s="72" t="s">
        <v>667</v>
      </c>
      <c r="AN489" s="112" t="s">
        <v>654</v>
      </c>
      <c r="AO489" s="138">
        <f t="shared" si="637"/>
        <v>51264.278472081562</v>
      </c>
      <c r="AP489" s="65">
        <f t="shared" si="638"/>
        <v>17088.092824027186</v>
      </c>
      <c r="AQ489" s="65">
        <f t="shared" si="639"/>
        <v>5126.427847208156</v>
      </c>
      <c r="AR489" s="65">
        <f t="shared" si="640"/>
        <v>0</v>
      </c>
      <c r="AS489" s="65">
        <f t="shared" si="641"/>
        <v>252.7</v>
      </c>
      <c r="AT489" s="65">
        <f t="shared" si="642"/>
        <v>8544.046412013593</v>
      </c>
      <c r="AU489" s="65">
        <f t="shared" si="643"/>
        <v>1708.8092824027185</v>
      </c>
      <c r="AV489" s="65">
        <f t="shared" si="644"/>
        <v>14205.3</v>
      </c>
      <c r="AW489" s="65">
        <f t="shared" si="645"/>
        <v>6262.1</v>
      </c>
      <c r="AX489" s="65">
        <f t="shared" si="646"/>
        <v>4058.3999999999996</v>
      </c>
      <c r="AY489" s="65">
        <f t="shared" si="647"/>
        <v>0</v>
      </c>
      <c r="AZ489" s="65">
        <f t="shared" si="648"/>
        <v>2358.1568097157519</v>
      </c>
      <c r="BB489" s="64"/>
      <c r="BC489" s="66"/>
      <c r="BD489" s="66"/>
      <c r="BE489" s="66"/>
    </row>
    <row r="490" spans="2:57" ht="21" customHeight="1" x14ac:dyDescent="0.2">
      <c r="B490" s="67">
        <v>61</v>
      </c>
      <c r="C490" s="73" t="s">
        <v>66</v>
      </c>
      <c r="D490" s="67">
        <v>13407</v>
      </c>
      <c r="E490" s="73" t="s">
        <v>668</v>
      </c>
      <c r="F490" s="112" t="s">
        <v>654</v>
      </c>
      <c r="G490" s="123">
        <v>45474</v>
      </c>
      <c r="H490" s="56" t="str">
        <f t="shared" si="588"/>
        <v>0 AÑOS</v>
      </c>
      <c r="I490" s="57">
        <v>3170.3326204132072</v>
      </c>
      <c r="J490" s="58"/>
      <c r="K490" s="58"/>
      <c r="L490" s="59"/>
      <c r="M490" s="60">
        <v>7.7999999999999999E-4</v>
      </c>
      <c r="N490" s="61">
        <f t="shared" si="636"/>
        <v>247.28594439223016</v>
      </c>
      <c r="O490" s="58">
        <f t="shared" si="589"/>
        <v>3417.6185648054375</v>
      </c>
      <c r="P490" s="61">
        <f t="shared" si="590"/>
        <v>6835.2371296108749</v>
      </c>
      <c r="Q490" s="61">
        <f t="shared" si="591"/>
        <v>5126.427847208156</v>
      </c>
      <c r="R490" s="61">
        <f t="shared" si="592"/>
        <v>1708.8092824027187</v>
      </c>
      <c r="S490" s="61">
        <f t="shared" si="593"/>
        <v>227.84123765369583</v>
      </c>
      <c r="T490" s="58">
        <f t="shared" si="594"/>
        <v>261.53895670267741</v>
      </c>
      <c r="U490" s="61">
        <f t="shared" si="595"/>
        <v>2563.213923604078</v>
      </c>
      <c r="V490" s="58">
        <f t="shared" si="596"/>
        <v>854.40464120135937</v>
      </c>
      <c r="W490" s="101">
        <v>2.5000000000000001E-2</v>
      </c>
      <c r="X490" s="63">
        <f t="shared" si="597"/>
        <v>170.88092824027188</v>
      </c>
      <c r="Y490" s="61">
        <v>0</v>
      </c>
      <c r="Z490" s="61">
        <v>25.27</v>
      </c>
      <c r="AA490" s="61">
        <f t="shared" si="598"/>
        <v>854.40464120135937</v>
      </c>
      <c r="AB490" s="61">
        <f t="shared" si="599"/>
        <v>170.88092824027186</v>
      </c>
      <c r="AC490" s="61">
        <v>1420.53</v>
      </c>
      <c r="AD490" s="61">
        <v>626.21</v>
      </c>
      <c r="AE490" s="61">
        <v>405.84</v>
      </c>
      <c r="AF490" s="61">
        <v>0</v>
      </c>
      <c r="AG490" s="61">
        <f t="shared" si="600"/>
        <v>235.81568097157518</v>
      </c>
      <c r="AH490" s="64"/>
      <c r="AI490" s="64"/>
      <c r="AJ490" s="67">
        <v>61</v>
      </c>
      <c r="AK490" s="73" t="s">
        <v>66</v>
      </c>
      <c r="AL490" s="67">
        <v>13407</v>
      </c>
      <c r="AM490" s="73" t="s">
        <v>668</v>
      </c>
      <c r="AN490" s="112" t="s">
        <v>654</v>
      </c>
      <c r="AO490" s="138">
        <f t="shared" si="637"/>
        <v>51264.278472081562</v>
      </c>
      <c r="AP490" s="65">
        <f t="shared" si="638"/>
        <v>17088.092824027186</v>
      </c>
      <c r="AQ490" s="65">
        <f t="shared" si="639"/>
        <v>1708.809282402719</v>
      </c>
      <c r="AR490" s="65">
        <f t="shared" si="640"/>
        <v>0</v>
      </c>
      <c r="AS490" s="65">
        <f t="shared" si="641"/>
        <v>252.7</v>
      </c>
      <c r="AT490" s="65">
        <f t="shared" si="642"/>
        <v>8544.046412013593</v>
      </c>
      <c r="AU490" s="65">
        <f t="shared" si="643"/>
        <v>1708.8092824027185</v>
      </c>
      <c r="AV490" s="65">
        <f t="shared" si="644"/>
        <v>14205.3</v>
      </c>
      <c r="AW490" s="65">
        <f t="shared" si="645"/>
        <v>6262.1</v>
      </c>
      <c r="AX490" s="65">
        <f t="shared" si="646"/>
        <v>4058.3999999999996</v>
      </c>
      <c r="AY490" s="65">
        <f t="shared" si="647"/>
        <v>0</v>
      </c>
      <c r="AZ490" s="65">
        <f t="shared" si="648"/>
        <v>2358.1568097157519</v>
      </c>
      <c r="BB490" s="64"/>
      <c r="BC490" s="66"/>
      <c r="BD490" s="66"/>
      <c r="BE490" s="66"/>
    </row>
    <row r="491" spans="2:57" ht="21" customHeight="1" x14ac:dyDescent="0.2">
      <c r="B491" s="67">
        <v>62</v>
      </c>
      <c r="C491" s="73" t="s">
        <v>66</v>
      </c>
      <c r="D491" s="67">
        <v>13161</v>
      </c>
      <c r="E491" s="72" t="s">
        <v>669</v>
      </c>
      <c r="F491" s="112" t="s">
        <v>654</v>
      </c>
      <c r="G491" s="123">
        <v>37865</v>
      </c>
      <c r="H491" s="56" t="str">
        <f t="shared" si="588"/>
        <v>21 AÑOS</v>
      </c>
      <c r="I491" s="57">
        <v>3170.3326204132072</v>
      </c>
      <c r="J491" s="58"/>
      <c r="K491" s="58"/>
      <c r="L491" s="59"/>
      <c r="M491" s="60">
        <v>7.7999999999999999E-4</v>
      </c>
      <c r="N491" s="61">
        <f t="shared" si="636"/>
        <v>247.28594439223016</v>
      </c>
      <c r="O491" s="58">
        <f t="shared" si="589"/>
        <v>3417.6185648054375</v>
      </c>
      <c r="P491" s="61">
        <f t="shared" si="590"/>
        <v>6835.2371296108749</v>
      </c>
      <c r="Q491" s="61">
        <f t="shared" si="591"/>
        <v>5126.427847208156</v>
      </c>
      <c r="R491" s="61">
        <f t="shared" si="592"/>
        <v>1708.8092824027187</v>
      </c>
      <c r="S491" s="61">
        <f t="shared" si="593"/>
        <v>227.84123765369583</v>
      </c>
      <c r="T491" s="58">
        <f t="shared" si="594"/>
        <v>261.53895670267741</v>
      </c>
      <c r="U491" s="61">
        <f t="shared" si="595"/>
        <v>2563.213923604078</v>
      </c>
      <c r="V491" s="58">
        <f t="shared" si="596"/>
        <v>854.40464120135937</v>
      </c>
      <c r="W491" s="101">
        <v>7.4999999999999997E-2</v>
      </c>
      <c r="X491" s="63">
        <f t="shared" si="597"/>
        <v>512.6427847208156</v>
      </c>
      <c r="Y491" s="61">
        <v>0</v>
      </c>
      <c r="Z491" s="61">
        <v>25.27</v>
      </c>
      <c r="AA491" s="61">
        <f t="shared" si="598"/>
        <v>854.40464120135937</v>
      </c>
      <c r="AB491" s="61">
        <f t="shared" si="599"/>
        <v>170.88092824027186</v>
      </c>
      <c r="AC491" s="61">
        <v>1420.53</v>
      </c>
      <c r="AD491" s="61">
        <v>626.21</v>
      </c>
      <c r="AE491" s="61">
        <v>405.84</v>
      </c>
      <c r="AF491" s="61">
        <v>0</v>
      </c>
      <c r="AG491" s="61">
        <f t="shared" si="600"/>
        <v>235.81568097157518</v>
      </c>
      <c r="AH491" s="64"/>
      <c r="AI491" s="64"/>
      <c r="AJ491" s="67">
        <v>62</v>
      </c>
      <c r="AK491" s="73" t="s">
        <v>66</v>
      </c>
      <c r="AL491" s="67">
        <v>13161</v>
      </c>
      <c r="AM491" s="72" t="s">
        <v>669</v>
      </c>
      <c r="AN491" s="112" t="s">
        <v>654</v>
      </c>
      <c r="AO491" s="138">
        <f t="shared" si="637"/>
        <v>51264.278472081562</v>
      </c>
      <c r="AP491" s="65">
        <f t="shared" si="638"/>
        <v>17088.092824027186</v>
      </c>
      <c r="AQ491" s="65">
        <f t="shared" si="639"/>
        <v>5126.427847208156</v>
      </c>
      <c r="AR491" s="65">
        <f t="shared" si="640"/>
        <v>0</v>
      </c>
      <c r="AS491" s="65">
        <f t="shared" si="641"/>
        <v>252.7</v>
      </c>
      <c r="AT491" s="65">
        <f t="shared" si="642"/>
        <v>8544.046412013593</v>
      </c>
      <c r="AU491" s="65">
        <f t="shared" si="643"/>
        <v>1708.8092824027185</v>
      </c>
      <c r="AV491" s="65">
        <f t="shared" si="644"/>
        <v>14205.3</v>
      </c>
      <c r="AW491" s="65">
        <f t="shared" si="645"/>
        <v>6262.1</v>
      </c>
      <c r="AX491" s="65">
        <f t="shared" si="646"/>
        <v>4058.3999999999996</v>
      </c>
      <c r="AY491" s="65">
        <f t="shared" si="647"/>
        <v>0</v>
      </c>
      <c r="AZ491" s="65">
        <f t="shared" si="648"/>
        <v>2358.1568097157519</v>
      </c>
      <c r="BB491" s="64"/>
      <c r="BC491" s="66"/>
      <c r="BD491" s="66"/>
      <c r="BE491" s="66"/>
    </row>
    <row r="492" spans="2:57" ht="21" customHeight="1" x14ac:dyDescent="0.2">
      <c r="B492" s="67">
        <v>63</v>
      </c>
      <c r="C492" s="73" t="s">
        <v>66</v>
      </c>
      <c r="D492" s="67">
        <v>13393</v>
      </c>
      <c r="E492" s="73" t="s">
        <v>670</v>
      </c>
      <c r="F492" s="112" t="s">
        <v>654</v>
      </c>
      <c r="G492" s="55">
        <v>45123</v>
      </c>
      <c r="H492" s="55" t="str">
        <f t="shared" si="588"/>
        <v>1 AÑOS</v>
      </c>
      <c r="I492" s="57">
        <v>3170.3326204132072</v>
      </c>
      <c r="J492" s="57"/>
      <c r="K492" s="57"/>
      <c r="L492" s="74"/>
      <c r="M492" s="171">
        <v>7.7999999999999999E-4</v>
      </c>
      <c r="N492" s="81">
        <f t="shared" si="636"/>
        <v>247.28594439223016</v>
      </c>
      <c r="O492" s="57">
        <f t="shared" si="589"/>
        <v>3417.6185648054375</v>
      </c>
      <c r="P492" s="81">
        <f t="shared" si="590"/>
        <v>6835.2371296108749</v>
      </c>
      <c r="Q492" s="81">
        <f t="shared" si="591"/>
        <v>5126.427847208156</v>
      </c>
      <c r="R492" s="81">
        <f t="shared" si="592"/>
        <v>1708.8092824027187</v>
      </c>
      <c r="S492" s="81">
        <f t="shared" si="593"/>
        <v>227.84123765369583</v>
      </c>
      <c r="T492" s="57">
        <f t="shared" si="594"/>
        <v>261.53895670267741</v>
      </c>
      <c r="U492" s="81">
        <f t="shared" si="595"/>
        <v>2563.213923604078</v>
      </c>
      <c r="V492" s="57">
        <f t="shared" si="596"/>
        <v>854.40464120135937</v>
      </c>
      <c r="W492" s="101">
        <v>0</v>
      </c>
      <c r="X492" s="158">
        <f t="shared" si="597"/>
        <v>0</v>
      </c>
      <c r="Y492" s="81">
        <v>0</v>
      </c>
      <c r="Z492" s="81">
        <v>25.27</v>
      </c>
      <c r="AA492" s="81">
        <f t="shared" si="598"/>
        <v>854.40464120135937</v>
      </c>
      <c r="AB492" s="81">
        <f t="shared" si="599"/>
        <v>170.88092824027186</v>
      </c>
      <c r="AC492" s="81">
        <v>1420.53</v>
      </c>
      <c r="AD492" s="81">
        <v>626.21</v>
      </c>
      <c r="AE492" s="81">
        <v>405.84</v>
      </c>
      <c r="AF492" s="81">
        <v>0</v>
      </c>
      <c r="AG492" s="81">
        <f t="shared" si="600"/>
        <v>235.81568097157518</v>
      </c>
      <c r="AH492" s="64"/>
      <c r="AI492" s="64"/>
      <c r="AJ492" s="67">
        <v>63</v>
      </c>
      <c r="AK492" s="73" t="s">
        <v>66</v>
      </c>
      <c r="AL492" s="67">
        <v>13393</v>
      </c>
      <c r="AM492" s="73" t="s">
        <v>670</v>
      </c>
      <c r="AN492" s="112" t="s">
        <v>654</v>
      </c>
      <c r="AO492" s="126">
        <f t="shared" si="637"/>
        <v>51264.278472081562</v>
      </c>
      <c r="AP492" s="159">
        <f t="shared" si="638"/>
        <v>17088.092824027186</v>
      </c>
      <c r="AQ492" s="159">
        <f t="shared" si="639"/>
        <v>0</v>
      </c>
      <c r="AR492" s="159">
        <f t="shared" si="640"/>
        <v>0</v>
      </c>
      <c r="AS492" s="159">
        <f t="shared" si="641"/>
        <v>252.7</v>
      </c>
      <c r="AT492" s="159">
        <f t="shared" si="642"/>
        <v>8544.046412013593</v>
      </c>
      <c r="AU492" s="159">
        <f t="shared" si="643"/>
        <v>1708.8092824027185</v>
      </c>
      <c r="AV492" s="159">
        <f t="shared" si="644"/>
        <v>14205.3</v>
      </c>
      <c r="AW492" s="159">
        <f t="shared" si="645"/>
        <v>6262.1</v>
      </c>
      <c r="AX492" s="159">
        <f t="shared" si="646"/>
        <v>4058.3999999999996</v>
      </c>
      <c r="AY492" s="159">
        <f t="shared" si="647"/>
        <v>0</v>
      </c>
      <c r="AZ492" s="159">
        <f t="shared" si="648"/>
        <v>2358.1568097157519</v>
      </c>
      <c r="BB492" s="64"/>
      <c r="BC492" s="66"/>
      <c r="BD492" s="66"/>
      <c r="BE492" s="66"/>
    </row>
    <row r="493" spans="2:57" ht="21" customHeight="1" x14ac:dyDescent="0.2">
      <c r="B493" s="67">
        <v>64</v>
      </c>
      <c r="C493" s="73" t="s">
        <v>66</v>
      </c>
      <c r="D493" s="67">
        <v>13390</v>
      </c>
      <c r="E493" s="73" t="s">
        <v>671</v>
      </c>
      <c r="F493" s="112" t="s">
        <v>654</v>
      </c>
      <c r="G493" s="55">
        <v>45108</v>
      </c>
      <c r="H493" s="55" t="str">
        <f t="shared" si="588"/>
        <v>1 AÑOS</v>
      </c>
      <c r="I493" s="57">
        <v>3170.3326204132072</v>
      </c>
      <c r="J493" s="57"/>
      <c r="K493" s="57"/>
      <c r="L493" s="74"/>
      <c r="M493" s="171">
        <v>7.7999999999999999E-4</v>
      </c>
      <c r="N493" s="81">
        <f t="shared" si="636"/>
        <v>247.28594439223016</v>
      </c>
      <c r="O493" s="57">
        <f t="shared" si="589"/>
        <v>3417.6185648054375</v>
      </c>
      <c r="P493" s="81">
        <f>O493*2</f>
        <v>6835.2371296108749</v>
      </c>
      <c r="Q493" s="81">
        <f>P493*0.75</f>
        <v>5126.427847208156</v>
      </c>
      <c r="R493" s="81">
        <f>P493*0.25</f>
        <v>1708.8092824027187</v>
      </c>
      <c r="S493" s="81">
        <f>(P493/30)</f>
        <v>227.84123765369583</v>
      </c>
      <c r="T493" s="57">
        <f t="shared" si="594"/>
        <v>261.53895670267741</v>
      </c>
      <c r="U493" s="81">
        <f>O493*0.75</f>
        <v>2563.213923604078</v>
      </c>
      <c r="V493" s="57">
        <f>O493*0.25</f>
        <v>854.40464120135937</v>
      </c>
      <c r="W493" s="101">
        <v>0</v>
      </c>
      <c r="X493" s="158">
        <f t="shared" si="597"/>
        <v>0</v>
      </c>
      <c r="Y493" s="81">
        <v>0</v>
      </c>
      <c r="Z493" s="81">
        <v>25.27</v>
      </c>
      <c r="AA493" s="81">
        <f t="shared" si="598"/>
        <v>854.40464120135937</v>
      </c>
      <c r="AB493" s="81">
        <f t="shared" si="599"/>
        <v>170.88092824027186</v>
      </c>
      <c r="AC493" s="81">
        <v>1420.53</v>
      </c>
      <c r="AD493" s="81">
        <v>626.21</v>
      </c>
      <c r="AE493" s="81">
        <v>405.84</v>
      </c>
      <c r="AF493" s="81">
        <v>0</v>
      </c>
      <c r="AG493" s="81">
        <f t="shared" si="600"/>
        <v>235.81568097157518</v>
      </c>
      <c r="AH493" s="64"/>
      <c r="AI493" s="64"/>
      <c r="AJ493" s="67">
        <v>64</v>
      </c>
      <c r="AK493" s="73" t="s">
        <v>66</v>
      </c>
      <c r="AL493" s="67">
        <v>13390</v>
      </c>
      <c r="AM493" s="73" t="s">
        <v>671</v>
      </c>
      <c r="AN493" s="112" t="s">
        <v>654</v>
      </c>
      <c r="AO493" s="138">
        <f t="shared" si="637"/>
        <v>51264.278472081562</v>
      </c>
      <c r="AP493" s="65">
        <f t="shared" si="638"/>
        <v>17088.092824027186</v>
      </c>
      <c r="AQ493" s="65">
        <f t="shared" si="639"/>
        <v>0</v>
      </c>
      <c r="AR493" s="65">
        <f t="shared" si="640"/>
        <v>0</v>
      </c>
      <c r="AS493" s="65">
        <f t="shared" si="641"/>
        <v>252.7</v>
      </c>
      <c r="AT493" s="65">
        <f t="shared" si="642"/>
        <v>8544.046412013593</v>
      </c>
      <c r="AU493" s="65">
        <f t="shared" si="643"/>
        <v>1708.8092824027185</v>
      </c>
      <c r="AV493" s="65">
        <f t="shared" si="644"/>
        <v>14205.3</v>
      </c>
      <c r="AW493" s="65">
        <f t="shared" si="645"/>
        <v>6262.1</v>
      </c>
      <c r="AX493" s="65">
        <f t="shared" si="646"/>
        <v>4058.3999999999996</v>
      </c>
      <c r="AY493" s="65">
        <f t="shared" si="647"/>
        <v>0</v>
      </c>
      <c r="AZ493" s="65">
        <f t="shared" si="648"/>
        <v>2358.1568097157519</v>
      </c>
      <c r="BB493" s="64"/>
      <c r="BC493" s="66"/>
      <c r="BD493" s="66"/>
      <c r="BE493" s="66"/>
    </row>
    <row r="494" spans="2:57" ht="21" customHeight="1" x14ac:dyDescent="0.2">
      <c r="B494" s="67">
        <v>65</v>
      </c>
      <c r="C494" s="73" t="s">
        <v>66</v>
      </c>
      <c r="D494" s="67">
        <v>13389</v>
      </c>
      <c r="E494" s="73" t="s">
        <v>672</v>
      </c>
      <c r="F494" s="112" t="s">
        <v>654</v>
      </c>
      <c r="G494" s="55">
        <v>45108</v>
      </c>
      <c r="H494" s="55" t="str">
        <f t="shared" si="588"/>
        <v>1 AÑOS</v>
      </c>
      <c r="I494" s="57">
        <v>3170.3326204132072</v>
      </c>
      <c r="J494" s="57"/>
      <c r="K494" s="57"/>
      <c r="L494" s="74"/>
      <c r="M494" s="171">
        <v>7.7999999999999999E-4</v>
      </c>
      <c r="N494" s="81">
        <f t="shared" si="636"/>
        <v>247.28594439223016</v>
      </c>
      <c r="O494" s="57">
        <f t="shared" si="589"/>
        <v>3417.6185648054375</v>
      </c>
      <c r="P494" s="81">
        <f>O494*2</f>
        <v>6835.2371296108749</v>
      </c>
      <c r="Q494" s="81">
        <f>P494*0.75</f>
        <v>5126.427847208156</v>
      </c>
      <c r="R494" s="81">
        <f>P494*0.25</f>
        <v>1708.8092824027187</v>
      </c>
      <c r="S494" s="81">
        <f>(P494/30)</f>
        <v>227.84123765369583</v>
      </c>
      <c r="T494" s="57">
        <f t="shared" si="594"/>
        <v>261.53895670267741</v>
      </c>
      <c r="U494" s="81">
        <f>O494*0.75</f>
        <v>2563.213923604078</v>
      </c>
      <c r="V494" s="57">
        <f>O494*0.25</f>
        <v>854.40464120135937</v>
      </c>
      <c r="W494" s="101">
        <v>0</v>
      </c>
      <c r="X494" s="158">
        <f t="shared" si="597"/>
        <v>0</v>
      </c>
      <c r="Y494" s="81">
        <v>0</v>
      </c>
      <c r="Z494" s="81">
        <v>25.27</v>
      </c>
      <c r="AA494" s="81">
        <f t="shared" si="598"/>
        <v>854.40464120135937</v>
      </c>
      <c r="AB494" s="81">
        <f t="shared" si="599"/>
        <v>170.88092824027186</v>
      </c>
      <c r="AC494" s="81">
        <v>1420.53</v>
      </c>
      <c r="AD494" s="81">
        <v>626.21</v>
      </c>
      <c r="AE494" s="81">
        <v>405.84</v>
      </c>
      <c r="AF494" s="81">
        <v>0</v>
      </c>
      <c r="AG494" s="81">
        <f t="shared" si="600"/>
        <v>235.81568097157518</v>
      </c>
      <c r="AH494" s="64"/>
      <c r="AI494" s="64"/>
      <c r="AJ494" s="67">
        <v>65</v>
      </c>
      <c r="AK494" s="73" t="s">
        <v>66</v>
      </c>
      <c r="AL494" s="67">
        <v>13389</v>
      </c>
      <c r="AM494" s="73" t="s">
        <v>672</v>
      </c>
      <c r="AN494" s="112" t="s">
        <v>654</v>
      </c>
      <c r="AO494" s="138">
        <f t="shared" si="637"/>
        <v>51264.278472081562</v>
      </c>
      <c r="AP494" s="65">
        <f t="shared" si="638"/>
        <v>17088.092824027186</v>
      </c>
      <c r="AQ494" s="65">
        <f t="shared" si="639"/>
        <v>0</v>
      </c>
      <c r="AR494" s="65">
        <f t="shared" si="640"/>
        <v>0</v>
      </c>
      <c r="AS494" s="65">
        <f t="shared" si="641"/>
        <v>252.7</v>
      </c>
      <c r="AT494" s="65">
        <f t="shared" si="642"/>
        <v>8544.046412013593</v>
      </c>
      <c r="AU494" s="65">
        <f t="shared" si="643"/>
        <v>1708.8092824027185</v>
      </c>
      <c r="AV494" s="65">
        <f t="shared" si="644"/>
        <v>14205.3</v>
      </c>
      <c r="AW494" s="65">
        <f t="shared" si="645"/>
        <v>6262.1</v>
      </c>
      <c r="AX494" s="65">
        <f t="shared" si="646"/>
        <v>4058.3999999999996</v>
      </c>
      <c r="AY494" s="65">
        <f t="shared" si="647"/>
        <v>0</v>
      </c>
      <c r="AZ494" s="65">
        <f t="shared" si="648"/>
        <v>2358.1568097157519</v>
      </c>
      <c r="BB494" s="64"/>
      <c r="BC494" s="66"/>
      <c r="BD494" s="66"/>
      <c r="BE494" s="66"/>
    </row>
    <row r="495" spans="2:57" ht="21" customHeight="1" x14ac:dyDescent="0.2">
      <c r="B495" s="67">
        <v>66</v>
      </c>
      <c r="C495" s="73" t="s">
        <v>66</v>
      </c>
      <c r="D495" s="67">
        <v>13349</v>
      </c>
      <c r="E495" s="73" t="s">
        <v>673</v>
      </c>
      <c r="F495" s="112" t="s">
        <v>654</v>
      </c>
      <c r="G495" s="55">
        <v>43617</v>
      </c>
      <c r="H495" s="55" t="str">
        <f xml:space="preserve"> CONCATENATE(DATEDIF(G495,H$5,"Y")," AÑOS")</f>
        <v>5 AÑOS</v>
      </c>
      <c r="I495" s="57">
        <v>3170.3326204132072</v>
      </c>
      <c r="J495" s="57"/>
      <c r="K495" s="57"/>
      <c r="L495" s="74"/>
      <c r="M495" s="171">
        <v>7.7999999999999999E-4</v>
      </c>
      <c r="N495" s="81">
        <f t="shared" si="636"/>
        <v>247.28594439223016</v>
      </c>
      <c r="O495" s="57">
        <f t="shared" si="589"/>
        <v>3417.6185648054375</v>
      </c>
      <c r="P495" s="81">
        <f>O495*2</f>
        <v>6835.2371296108749</v>
      </c>
      <c r="Q495" s="81">
        <f>P495*0.75</f>
        <v>5126.427847208156</v>
      </c>
      <c r="R495" s="81">
        <f>P495*0.25</f>
        <v>1708.8092824027187</v>
      </c>
      <c r="S495" s="81">
        <f>(P495/30)</f>
        <v>227.84123765369583</v>
      </c>
      <c r="T495" s="57">
        <f t="shared" si="594"/>
        <v>261.53895670267741</v>
      </c>
      <c r="U495" s="81">
        <f>O495*0.75</f>
        <v>2563.213923604078</v>
      </c>
      <c r="V495" s="57">
        <f>O495*0.25</f>
        <v>854.40464120135937</v>
      </c>
      <c r="W495" s="101">
        <v>0</v>
      </c>
      <c r="X495" s="158">
        <f t="shared" si="597"/>
        <v>0</v>
      </c>
      <c r="Y495" s="81">
        <v>0</v>
      </c>
      <c r="Z495" s="81">
        <v>25.27</v>
      </c>
      <c r="AA495" s="81">
        <f t="shared" si="598"/>
        <v>854.40464120135937</v>
      </c>
      <c r="AB495" s="81">
        <f t="shared" si="599"/>
        <v>170.88092824027186</v>
      </c>
      <c r="AC495" s="81">
        <v>1420.53</v>
      </c>
      <c r="AD495" s="81">
        <v>626.21</v>
      </c>
      <c r="AE495" s="81">
        <v>405.84</v>
      </c>
      <c r="AF495" s="81">
        <v>0</v>
      </c>
      <c r="AG495" s="81">
        <f t="shared" si="600"/>
        <v>235.81568097157518</v>
      </c>
      <c r="AH495" s="64"/>
      <c r="AI495" s="64"/>
      <c r="AJ495" s="67">
        <v>66</v>
      </c>
      <c r="AK495" s="73" t="s">
        <v>66</v>
      </c>
      <c r="AL495" s="67">
        <v>13349</v>
      </c>
      <c r="AM495" s="73" t="s">
        <v>673</v>
      </c>
      <c r="AN495" s="112" t="s">
        <v>654</v>
      </c>
      <c r="AO495" s="138">
        <f t="shared" si="637"/>
        <v>51264.278472081562</v>
      </c>
      <c r="AP495" s="65">
        <f t="shared" si="638"/>
        <v>17088.092824027186</v>
      </c>
      <c r="AQ495" s="65">
        <f t="shared" si="639"/>
        <v>0</v>
      </c>
      <c r="AR495" s="65">
        <f t="shared" si="640"/>
        <v>0</v>
      </c>
      <c r="AS495" s="65">
        <f t="shared" si="641"/>
        <v>252.7</v>
      </c>
      <c r="AT495" s="65">
        <f t="shared" si="642"/>
        <v>8544.046412013593</v>
      </c>
      <c r="AU495" s="65">
        <f t="shared" si="643"/>
        <v>1708.8092824027185</v>
      </c>
      <c r="AV495" s="65">
        <f t="shared" si="644"/>
        <v>14205.3</v>
      </c>
      <c r="AW495" s="65">
        <f t="shared" si="645"/>
        <v>6262.1</v>
      </c>
      <c r="AX495" s="65">
        <f t="shared" si="646"/>
        <v>4058.3999999999996</v>
      </c>
      <c r="AY495" s="65">
        <f t="shared" si="647"/>
        <v>0</v>
      </c>
      <c r="AZ495" s="65">
        <f t="shared" si="648"/>
        <v>2358.1568097157519</v>
      </c>
      <c r="BB495" s="64"/>
      <c r="BC495" s="66"/>
      <c r="BD495" s="66"/>
      <c r="BE495" s="66"/>
    </row>
    <row r="496" spans="2:57" ht="21" customHeight="1" x14ac:dyDescent="0.2">
      <c r="B496" s="67">
        <v>67</v>
      </c>
      <c r="C496" s="73" t="s">
        <v>66</v>
      </c>
      <c r="D496" s="67">
        <v>13299</v>
      </c>
      <c r="E496" s="72" t="s">
        <v>674</v>
      </c>
      <c r="F496" s="72" t="s">
        <v>675</v>
      </c>
      <c r="G496" s="55">
        <v>42156</v>
      </c>
      <c r="H496" s="55" t="str">
        <f t="shared" si="588"/>
        <v>9 AÑOS</v>
      </c>
      <c r="I496" s="57">
        <v>2913.9709727340119</v>
      </c>
      <c r="J496" s="57"/>
      <c r="K496" s="57"/>
      <c r="L496" s="74"/>
      <c r="M496" s="171">
        <v>1.74E-3</v>
      </c>
      <c r="N496" s="81">
        <f t="shared" ref="N496:N497" si="649">I496*0.174</f>
        <v>507.03094925571804</v>
      </c>
      <c r="O496" s="57">
        <f t="shared" si="589"/>
        <v>3421.0019219897299</v>
      </c>
      <c r="P496" s="81">
        <f>O496*2</f>
        <v>6842.0038439794598</v>
      </c>
      <c r="Q496" s="81">
        <f>P496*0.75</f>
        <v>5131.5028829845951</v>
      </c>
      <c r="R496" s="81">
        <f>P496*0.25</f>
        <v>1710.500960994865</v>
      </c>
      <c r="S496" s="81">
        <f>(P496/30)</f>
        <v>228.06679479931532</v>
      </c>
      <c r="T496" s="57">
        <f t="shared" si="594"/>
        <v>261.79787375013404</v>
      </c>
      <c r="U496" s="81">
        <f>O496*0.75</f>
        <v>2565.7514414922975</v>
      </c>
      <c r="V496" s="57">
        <f>O496*0.25</f>
        <v>855.25048049743248</v>
      </c>
      <c r="W496" s="101">
        <v>2.5000000000000001E-2</v>
      </c>
      <c r="X496" s="158">
        <f t="shared" si="597"/>
        <v>171.0500960994865</v>
      </c>
      <c r="Y496" s="81">
        <v>0</v>
      </c>
      <c r="Z496" s="81">
        <v>25.27</v>
      </c>
      <c r="AA496" s="81">
        <f t="shared" si="598"/>
        <v>855.25048049743248</v>
      </c>
      <c r="AB496" s="81">
        <f t="shared" si="599"/>
        <v>171.0500960994865</v>
      </c>
      <c r="AC496" s="81">
        <v>1420.53</v>
      </c>
      <c r="AD496" s="81">
        <v>626.21</v>
      </c>
      <c r="AE496" s="81">
        <v>405.84</v>
      </c>
      <c r="AF496" s="81">
        <v>0</v>
      </c>
      <c r="AG496" s="81">
        <f t="shared" si="600"/>
        <v>236.04913261729135</v>
      </c>
      <c r="AH496" s="64"/>
      <c r="AI496" s="64"/>
      <c r="AJ496" s="67">
        <v>67</v>
      </c>
      <c r="AK496" s="73" t="s">
        <v>66</v>
      </c>
      <c r="AL496" s="67">
        <v>13299</v>
      </c>
      <c r="AM496" s="72" t="s">
        <v>674</v>
      </c>
      <c r="AN496" s="72" t="s">
        <v>675</v>
      </c>
      <c r="AO496" s="138">
        <f t="shared" si="637"/>
        <v>51315.028829845949</v>
      </c>
      <c r="AP496" s="65">
        <f t="shared" si="638"/>
        <v>17105.009609948651</v>
      </c>
      <c r="AQ496" s="65">
        <f t="shared" si="639"/>
        <v>1710.500960994865</v>
      </c>
      <c r="AR496" s="65">
        <f t="shared" si="640"/>
        <v>0</v>
      </c>
      <c r="AS496" s="65">
        <f t="shared" si="641"/>
        <v>252.7</v>
      </c>
      <c r="AT496" s="65">
        <f t="shared" si="642"/>
        <v>8552.5048049743255</v>
      </c>
      <c r="AU496" s="65">
        <f t="shared" si="643"/>
        <v>1710.500960994865</v>
      </c>
      <c r="AV496" s="65">
        <f t="shared" si="644"/>
        <v>14205.3</v>
      </c>
      <c r="AW496" s="65">
        <f t="shared" si="645"/>
        <v>6262.1</v>
      </c>
      <c r="AX496" s="65">
        <f t="shared" si="646"/>
        <v>4058.3999999999996</v>
      </c>
      <c r="AY496" s="65">
        <f t="shared" si="647"/>
        <v>0</v>
      </c>
      <c r="AZ496" s="65">
        <f t="shared" si="648"/>
        <v>2360.4913261729134</v>
      </c>
      <c r="BB496" s="64"/>
      <c r="BC496" s="66"/>
      <c r="BD496" s="66"/>
      <c r="BE496" s="66"/>
    </row>
    <row r="497" spans="2:57" ht="21" customHeight="1" x14ac:dyDescent="0.2">
      <c r="B497" s="67">
        <v>68</v>
      </c>
      <c r="C497" s="73" t="s">
        <v>66</v>
      </c>
      <c r="D497" s="67">
        <v>13398</v>
      </c>
      <c r="E497" s="73" t="s">
        <v>676</v>
      </c>
      <c r="F497" s="72" t="s">
        <v>675</v>
      </c>
      <c r="G497" s="248">
        <v>45352</v>
      </c>
      <c r="H497" s="147" t="str">
        <f t="shared" si="588"/>
        <v>0 AÑOS</v>
      </c>
      <c r="I497" s="57">
        <v>2913.9709727340119</v>
      </c>
      <c r="J497" s="57"/>
      <c r="K497" s="57"/>
      <c r="L497" s="74"/>
      <c r="M497" s="171">
        <v>1.74E-3</v>
      </c>
      <c r="N497" s="81">
        <f t="shared" si="649"/>
        <v>507.03094925571804</v>
      </c>
      <c r="O497" s="57">
        <f t="shared" si="589"/>
        <v>3421.0019219897299</v>
      </c>
      <c r="P497" s="81">
        <f>O497*2</f>
        <v>6842.0038439794598</v>
      </c>
      <c r="Q497" s="81">
        <f>P497*0.75</f>
        <v>5131.5028829845951</v>
      </c>
      <c r="R497" s="81">
        <f>P497*0.25</f>
        <v>1710.500960994865</v>
      </c>
      <c r="S497" s="81">
        <f>(P497/30)</f>
        <v>228.06679479931532</v>
      </c>
      <c r="T497" s="57">
        <f t="shared" si="594"/>
        <v>261.79787375013404</v>
      </c>
      <c r="U497" s="81">
        <f>O497*0.75</f>
        <v>2565.7514414922975</v>
      </c>
      <c r="V497" s="57">
        <f>O497*0.25</f>
        <v>855.25048049743248</v>
      </c>
      <c r="W497" s="101">
        <v>2.5000000000000001E-2</v>
      </c>
      <c r="X497" s="158">
        <f t="shared" si="597"/>
        <v>171.0500960994865</v>
      </c>
      <c r="Y497" s="81">
        <v>0</v>
      </c>
      <c r="Z497" s="81">
        <v>25.27</v>
      </c>
      <c r="AA497" s="81">
        <f t="shared" si="598"/>
        <v>855.25048049743248</v>
      </c>
      <c r="AB497" s="81">
        <f t="shared" si="599"/>
        <v>171.0500960994865</v>
      </c>
      <c r="AC497" s="81">
        <v>1420.53</v>
      </c>
      <c r="AD497" s="81">
        <v>626.21</v>
      </c>
      <c r="AE497" s="81">
        <v>405.84</v>
      </c>
      <c r="AF497" s="81">
        <v>0</v>
      </c>
      <c r="AG497" s="81">
        <f t="shared" si="600"/>
        <v>236.04913261729135</v>
      </c>
      <c r="AH497" s="64"/>
      <c r="AI497" s="64"/>
      <c r="AJ497" s="67">
        <v>68</v>
      </c>
      <c r="AK497" s="73" t="s">
        <v>66</v>
      </c>
      <c r="AL497" s="67">
        <v>13398</v>
      </c>
      <c r="AM497" s="73" t="s">
        <v>676</v>
      </c>
      <c r="AN497" s="72" t="s">
        <v>675</v>
      </c>
      <c r="AO497" s="138">
        <f t="shared" si="637"/>
        <v>51315.028829845949</v>
      </c>
      <c r="AP497" s="65">
        <f t="shared" si="638"/>
        <v>17105.009609948651</v>
      </c>
      <c r="AQ497" s="65">
        <f t="shared" si="639"/>
        <v>1710.500960994865</v>
      </c>
      <c r="AR497" s="65">
        <f t="shared" si="640"/>
        <v>0</v>
      </c>
      <c r="AS497" s="65">
        <f t="shared" si="641"/>
        <v>252.7</v>
      </c>
      <c r="AT497" s="65">
        <f t="shared" si="642"/>
        <v>8552.5048049743255</v>
      </c>
      <c r="AU497" s="65">
        <f t="shared" si="643"/>
        <v>1710.500960994865</v>
      </c>
      <c r="AV497" s="65">
        <f t="shared" si="644"/>
        <v>14205.3</v>
      </c>
      <c r="AW497" s="65">
        <f t="shared" si="645"/>
        <v>6262.1</v>
      </c>
      <c r="AX497" s="65">
        <f t="shared" si="646"/>
        <v>4058.3999999999996</v>
      </c>
      <c r="AY497" s="65">
        <f t="shared" si="647"/>
        <v>0</v>
      </c>
      <c r="AZ497" s="65">
        <f t="shared" si="648"/>
        <v>2360.4913261729134</v>
      </c>
      <c r="BB497" s="64"/>
      <c r="BC497" s="66"/>
      <c r="BD497" s="66"/>
      <c r="BE497" s="66"/>
    </row>
    <row r="498" spans="2:57" ht="21" customHeight="1" x14ac:dyDescent="0.2">
      <c r="B498" s="67">
        <v>69</v>
      </c>
      <c r="C498" s="73" t="s">
        <v>66</v>
      </c>
      <c r="D498" s="67">
        <v>13288</v>
      </c>
      <c r="E498" s="72" t="s">
        <v>677</v>
      </c>
      <c r="F498" s="72" t="s">
        <v>678</v>
      </c>
      <c r="G498" s="55">
        <v>42129</v>
      </c>
      <c r="H498" s="55" t="str">
        <f t="shared" ref="H498:H561" si="650" xml:space="preserve"> CONCATENATE(DATEDIF(G498,H$5,"Y")," AÑOS")</f>
        <v>9 AÑOS</v>
      </c>
      <c r="I498" s="57">
        <v>4342.4372476327098</v>
      </c>
      <c r="J498" s="57"/>
      <c r="K498" s="57"/>
      <c r="L498" s="74"/>
      <c r="M498" s="171">
        <v>4.0000000000000002E-4</v>
      </c>
      <c r="N498" s="81">
        <f t="shared" ref="N498:N528" si="651">I498*0.04</f>
        <v>173.6974899053084</v>
      </c>
      <c r="O498" s="57">
        <f t="shared" ref="O498:O561" si="652">I498+N498</f>
        <v>4516.1347375380183</v>
      </c>
      <c r="P498" s="81">
        <f t="shared" ref="P498:P561" si="653">O498*2</f>
        <v>9032.2694750760365</v>
      </c>
      <c r="Q498" s="81">
        <f t="shared" ref="Q498:Q561" si="654">P498*0.75</f>
        <v>6774.2021063070279</v>
      </c>
      <c r="R498" s="81">
        <f t="shared" ref="R498:R561" si="655">P498*0.25</f>
        <v>2258.0673687690091</v>
      </c>
      <c r="S498" s="81">
        <f t="shared" ref="S498:S561" si="656">(P498/30)</f>
        <v>301.0756491692012</v>
      </c>
      <c r="T498" s="57">
        <f t="shared" ref="T498:T561" si="657">S498*1.1479</f>
        <v>345.60473768132601</v>
      </c>
      <c r="U498" s="81">
        <f t="shared" ref="U498:U561" si="658">O498*0.75</f>
        <v>3387.1010531535139</v>
      </c>
      <c r="V498" s="57">
        <f t="shared" ref="V498:V561" si="659">O498*0.25</f>
        <v>1129.0336843845046</v>
      </c>
      <c r="W498" s="101">
        <v>2.5000000000000001E-2</v>
      </c>
      <c r="X498" s="158">
        <f t="shared" ref="X498:X561" si="660">P498*W498</f>
        <v>225.80673687690091</v>
      </c>
      <c r="Y498" s="81">
        <v>173.87245316620459</v>
      </c>
      <c r="Z498" s="81">
        <v>0</v>
      </c>
      <c r="AA498" s="81">
        <f t="shared" ref="AA498:AA561" si="661">(S498*45)/12</f>
        <v>1129.0336843845046</v>
      </c>
      <c r="AB498" s="81">
        <f t="shared" ref="AB498:AB561" si="662">(S498*10)*(0.45*2)/12</f>
        <v>225.80673687690091</v>
      </c>
      <c r="AC498" s="81">
        <v>1655.4123630195415</v>
      </c>
      <c r="AD498" s="81">
        <v>844.77894055134925</v>
      </c>
      <c r="AE498" s="81">
        <v>535.68734340605533</v>
      </c>
      <c r="AF498" s="81">
        <v>0</v>
      </c>
      <c r="AG498" s="81">
        <f t="shared" ref="AG498:AG561" si="663">(P498+AA498+AB498)*0.03</f>
        <v>311.61329689012325</v>
      </c>
      <c r="AH498" s="64"/>
      <c r="AI498" s="64"/>
      <c r="AJ498" s="67">
        <v>69</v>
      </c>
      <c r="AK498" s="73" t="s">
        <v>66</v>
      </c>
      <c r="AL498" s="67">
        <v>13288</v>
      </c>
      <c r="AM498" s="72" t="s">
        <v>677</v>
      </c>
      <c r="AN498" s="72" t="s">
        <v>678</v>
      </c>
      <c r="AO498" s="138">
        <f t="shared" ref="AO498:AO512" si="664">Q498*12</f>
        <v>81290.425275684334</v>
      </c>
      <c r="AP498" s="65">
        <f t="shared" ref="AP498:AP512" si="665">R498*12</f>
        <v>27096.808425228111</v>
      </c>
      <c r="AQ498" s="65">
        <f t="shared" ref="AQ498:AQ512" si="666">X498*12</f>
        <v>2709.680842522811</v>
      </c>
      <c r="AR498" s="65">
        <f t="shared" ref="AR498:AR512" si="667">Y498*12</f>
        <v>2086.4694379944549</v>
      </c>
      <c r="AS498" s="65">
        <f t="shared" ref="AS498:AS512" si="668">Z498*12</f>
        <v>0</v>
      </c>
      <c r="AT498" s="65">
        <f t="shared" ref="AT498:AT512" si="669">AA498*12</f>
        <v>13548.404212614056</v>
      </c>
      <c r="AU498" s="65">
        <f t="shared" ref="AU498:AU512" si="670">AB498*12</f>
        <v>2709.680842522811</v>
      </c>
      <c r="AV498" s="65">
        <f t="shared" ref="AV498:AV512" si="671">AC498*12</f>
        <v>19864.948356234498</v>
      </c>
      <c r="AW498" s="65">
        <f t="shared" ref="AW498:AW512" si="672">AD498*12</f>
        <v>10137.34728661619</v>
      </c>
      <c r="AX498" s="65">
        <f t="shared" ref="AX498:AX512" si="673">AE498*12</f>
        <v>6428.248120872664</v>
      </c>
      <c r="AY498" s="65">
        <f t="shared" ref="AY498:AY512" si="674">AF498*12</f>
        <v>0</v>
      </c>
      <c r="AZ498" s="65">
        <f t="shared" ref="AZ498:AZ512" si="675">AG498*12</f>
        <v>3739.359562681479</v>
      </c>
      <c r="BB498" s="64"/>
      <c r="BC498" s="66"/>
      <c r="BD498" s="66"/>
      <c r="BE498" s="66"/>
    </row>
    <row r="499" spans="2:57" ht="21" customHeight="1" x14ac:dyDescent="0.2">
      <c r="B499" s="67">
        <v>70</v>
      </c>
      <c r="C499" s="73" t="s">
        <v>66</v>
      </c>
      <c r="D499" s="67">
        <v>13373</v>
      </c>
      <c r="E499" s="72" t="s">
        <v>679</v>
      </c>
      <c r="F499" s="72" t="s">
        <v>678</v>
      </c>
      <c r="G499" s="55">
        <v>44256</v>
      </c>
      <c r="H499" s="55" t="str">
        <f t="shared" si="650"/>
        <v>3 AÑOS</v>
      </c>
      <c r="I499" s="57">
        <v>4342.4411709409751</v>
      </c>
      <c r="J499" s="57"/>
      <c r="K499" s="57"/>
      <c r="L499" s="74"/>
      <c r="M499" s="171">
        <v>4.0000000000000002E-4</v>
      </c>
      <c r="N499" s="81">
        <f t="shared" si="651"/>
        <v>173.69764683763901</v>
      </c>
      <c r="O499" s="57">
        <f t="shared" si="652"/>
        <v>4516.1388177786139</v>
      </c>
      <c r="P499" s="81">
        <f t="shared" si="653"/>
        <v>9032.2776355572278</v>
      </c>
      <c r="Q499" s="81">
        <f t="shared" si="654"/>
        <v>6774.2082266679208</v>
      </c>
      <c r="R499" s="81">
        <f t="shared" si="655"/>
        <v>2258.0694088893069</v>
      </c>
      <c r="S499" s="81">
        <f t="shared" si="656"/>
        <v>301.07592118524093</v>
      </c>
      <c r="T499" s="57">
        <f t="shared" si="657"/>
        <v>345.60504992853805</v>
      </c>
      <c r="U499" s="81">
        <f t="shared" si="658"/>
        <v>3387.1041133339604</v>
      </c>
      <c r="V499" s="57">
        <f t="shared" si="659"/>
        <v>1129.0347044446535</v>
      </c>
      <c r="W499" s="101">
        <v>0</v>
      </c>
      <c r="X499" s="158">
        <f t="shared" si="660"/>
        <v>0</v>
      </c>
      <c r="Y499" s="81">
        <v>173.87311906146977</v>
      </c>
      <c r="Z499" s="81">
        <v>0</v>
      </c>
      <c r="AA499" s="81">
        <f t="shared" si="661"/>
        <v>1129.0347044446535</v>
      </c>
      <c r="AB499" s="81">
        <f t="shared" si="662"/>
        <v>225.80694088893071</v>
      </c>
      <c r="AC499" s="81">
        <v>1655.4133631833643</v>
      </c>
      <c r="AD499" s="81">
        <v>844.77970379282215</v>
      </c>
      <c r="AE499" s="81">
        <v>535.68782738923403</v>
      </c>
      <c r="AF499" s="81">
        <v>0</v>
      </c>
      <c r="AG499" s="81">
        <f t="shared" si="663"/>
        <v>311.61357842672436</v>
      </c>
      <c r="AH499" s="64"/>
      <c r="AI499" s="64"/>
      <c r="AJ499" s="67">
        <v>70</v>
      </c>
      <c r="AK499" s="73" t="s">
        <v>66</v>
      </c>
      <c r="AL499" s="67">
        <v>13373</v>
      </c>
      <c r="AM499" s="72" t="s">
        <v>679</v>
      </c>
      <c r="AN499" s="72" t="s">
        <v>678</v>
      </c>
      <c r="AO499" s="138">
        <f t="shared" si="664"/>
        <v>81290.49872001505</v>
      </c>
      <c r="AP499" s="65">
        <f t="shared" si="665"/>
        <v>27096.832906671683</v>
      </c>
      <c r="AQ499" s="65">
        <f t="shared" si="666"/>
        <v>0</v>
      </c>
      <c r="AR499" s="65">
        <f t="shared" si="667"/>
        <v>2086.4774287376372</v>
      </c>
      <c r="AS499" s="65">
        <f t="shared" si="668"/>
        <v>0</v>
      </c>
      <c r="AT499" s="65">
        <f t="shared" si="669"/>
        <v>13548.416453335842</v>
      </c>
      <c r="AU499" s="65">
        <f t="shared" si="670"/>
        <v>2709.6832906671684</v>
      </c>
      <c r="AV499" s="65">
        <f t="shared" si="671"/>
        <v>19864.960358200369</v>
      </c>
      <c r="AW499" s="65">
        <f t="shared" si="672"/>
        <v>10137.356445513866</v>
      </c>
      <c r="AX499" s="65">
        <f t="shared" si="673"/>
        <v>6428.2539286708088</v>
      </c>
      <c r="AY499" s="65">
        <f t="shared" si="674"/>
        <v>0</v>
      </c>
      <c r="AZ499" s="65">
        <f t="shared" si="675"/>
        <v>3739.3629411206921</v>
      </c>
      <c r="BB499" s="64"/>
      <c r="BC499" s="66"/>
      <c r="BD499" s="66"/>
      <c r="BE499" s="66"/>
    </row>
    <row r="500" spans="2:57" ht="21" customHeight="1" x14ac:dyDescent="0.2">
      <c r="B500" s="67">
        <v>71</v>
      </c>
      <c r="C500" s="73" t="s">
        <v>66</v>
      </c>
      <c r="D500" s="67">
        <v>13274</v>
      </c>
      <c r="E500" s="72" t="s">
        <v>680</v>
      </c>
      <c r="F500" s="72" t="s">
        <v>678</v>
      </c>
      <c r="G500" s="55">
        <v>41548</v>
      </c>
      <c r="H500" s="55" t="str">
        <f t="shared" si="650"/>
        <v>11 AÑOS</v>
      </c>
      <c r="I500" s="57">
        <v>4342.4372476327098</v>
      </c>
      <c r="J500" s="57"/>
      <c r="K500" s="57"/>
      <c r="L500" s="74"/>
      <c r="M500" s="171">
        <v>4.0000000000000002E-4</v>
      </c>
      <c r="N500" s="81">
        <f t="shared" si="651"/>
        <v>173.6974899053084</v>
      </c>
      <c r="O500" s="57">
        <f t="shared" si="652"/>
        <v>4516.1347375380183</v>
      </c>
      <c r="P500" s="81">
        <f t="shared" si="653"/>
        <v>9032.2694750760365</v>
      </c>
      <c r="Q500" s="81">
        <f t="shared" si="654"/>
        <v>6774.2021063070279</v>
      </c>
      <c r="R500" s="81">
        <f t="shared" si="655"/>
        <v>2258.0673687690091</v>
      </c>
      <c r="S500" s="81">
        <f t="shared" si="656"/>
        <v>301.0756491692012</v>
      </c>
      <c r="T500" s="57">
        <f t="shared" si="657"/>
        <v>345.60473768132601</v>
      </c>
      <c r="U500" s="81">
        <f t="shared" si="658"/>
        <v>3387.1010531535139</v>
      </c>
      <c r="V500" s="57">
        <f t="shared" si="659"/>
        <v>1129.0336843845046</v>
      </c>
      <c r="W500" s="101">
        <v>0.05</v>
      </c>
      <c r="X500" s="158">
        <f t="shared" si="660"/>
        <v>451.61347375380183</v>
      </c>
      <c r="Y500" s="81">
        <v>173.87245316620459</v>
      </c>
      <c r="Z500" s="81">
        <v>0</v>
      </c>
      <c r="AA500" s="81">
        <f t="shared" si="661"/>
        <v>1129.0336843845046</v>
      </c>
      <c r="AB500" s="81">
        <f t="shared" si="662"/>
        <v>225.80673687690091</v>
      </c>
      <c r="AC500" s="81">
        <v>1655.4123630195415</v>
      </c>
      <c r="AD500" s="81">
        <v>844.77894055134925</v>
      </c>
      <c r="AE500" s="81">
        <v>535.68734340605533</v>
      </c>
      <c r="AF500" s="81">
        <v>0</v>
      </c>
      <c r="AG500" s="81">
        <f t="shared" si="663"/>
        <v>311.61329689012325</v>
      </c>
      <c r="AH500" s="64"/>
      <c r="AI500" s="64"/>
      <c r="AJ500" s="67">
        <v>71</v>
      </c>
      <c r="AK500" s="73" t="s">
        <v>66</v>
      </c>
      <c r="AL500" s="67">
        <v>13274</v>
      </c>
      <c r="AM500" s="72" t="s">
        <v>680</v>
      </c>
      <c r="AN500" s="72" t="s">
        <v>678</v>
      </c>
      <c r="AO500" s="138">
        <f t="shared" si="664"/>
        <v>81290.425275684334</v>
      </c>
      <c r="AP500" s="65">
        <f t="shared" si="665"/>
        <v>27096.808425228111</v>
      </c>
      <c r="AQ500" s="65">
        <f t="shared" si="666"/>
        <v>5419.3616850456219</v>
      </c>
      <c r="AR500" s="65">
        <f t="shared" si="667"/>
        <v>2086.4694379944549</v>
      </c>
      <c r="AS500" s="65">
        <f t="shared" si="668"/>
        <v>0</v>
      </c>
      <c r="AT500" s="65">
        <f t="shared" si="669"/>
        <v>13548.404212614056</v>
      </c>
      <c r="AU500" s="65">
        <f t="shared" si="670"/>
        <v>2709.680842522811</v>
      </c>
      <c r="AV500" s="65">
        <f t="shared" si="671"/>
        <v>19864.948356234498</v>
      </c>
      <c r="AW500" s="65">
        <f t="shared" si="672"/>
        <v>10137.34728661619</v>
      </c>
      <c r="AX500" s="65">
        <f t="shared" si="673"/>
        <v>6428.248120872664</v>
      </c>
      <c r="AY500" s="65">
        <f t="shared" si="674"/>
        <v>0</v>
      </c>
      <c r="AZ500" s="65">
        <f t="shared" si="675"/>
        <v>3739.359562681479</v>
      </c>
      <c r="BB500" s="64"/>
      <c r="BC500" s="66"/>
      <c r="BD500" s="66"/>
      <c r="BE500" s="66"/>
    </row>
    <row r="501" spans="2:57" ht="21" customHeight="1" x14ac:dyDescent="0.2">
      <c r="B501" s="67">
        <v>72</v>
      </c>
      <c r="C501" s="73" t="s">
        <v>66</v>
      </c>
      <c r="D501" s="67">
        <v>13296</v>
      </c>
      <c r="E501" s="72" t="s">
        <v>681</v>
      </c>
      <c r="F501" s="72" t="s">
        <v>682</v>
      </c>
      <c r="G501" s="55">
        <v>42130</v>
      </c>
      <c r="H501" s="55" t="str">
        <f t="shared" si="650"/>
        <v>9 AÑOS</v>
      </c>
      <c r="I501" s="57">
        <v>4330.6943164327095</v>
      </c>
      <c r="J501" s="57"/>
      <c r="K501" s="57"/>
      <c r="L501" s="74"/>
      <c r="M501" s="171">
        <v>4.0000000000000002E-4</v>
      </c>
      <c r="N501" s="81">
        <f t="shared" si="651"/>
        <v>173.22777265730838</v>
      </c>
      <c r="O501" s="57">
        <f t="shared" si="652"/>
        <v>4503.9220890900178</v>
      </c>
      <c r="P501" s="81">
        <f t="shared" si="653"/>
        <v>9007.8441781800357</v>
      </c>
      <c r="Q501" s="81">
        <f t="shared" si="654"/>
        <v>6755.8831336350268</v>
      </c>
      <c r="R501" s="81">
        <f t="shared" si="655"/>
        <v>2251.9610445450089</v>
      </c>
      <c r="S501" s="81">
        <f t="shared" si="656"/>
        <v>300.26147260600118</v>
      </c>
      <c r="T501" s="57">
        <f t="shared" si="657"/>
        <v>344.67014440442875</v>
      </c>
      <c r="U501" s="81">
        <f t="shared" si="658"/>
        <v>3377.9415668175134</v>
      </c>
      <c r="V501" s="57">
        <f t="shared" si="659"/>
        <v>1125.9805222725045</v>
      </c>
      <c r="W501" s="101">
        <v>2.5000000000000001E-2</v>
      </c>
      <c r="X501" s="158">
        <f t="shared" si="660"/>
        <v>225.1961044545009</v>
      </c>
      <c r="Y501" s="81">
        <v>171.87934893949085</v>
      </c>
      <c r="Z501" s="81">
        <v>0</v>
      </c>
      <c r="AA501" s="81">
        <f t="shared" si="661"/>
        <v>1125.9805222725045</v>
      </c>
      <c r="AB501" s="81">
        <f t="shared" si="662"/>
        <v>225.1961044545009</v>
      </c>
      <c r="AC501" s="81">
        <v>1652.418752995035</v>
      </c>
      <c r="AD501" s="81">
        <v>842.49446747496552</v>
      </c>
      <c r="AE501" s="81">
        <v>534.23872382686466</v>
      </c>
      <c r="AF501" s="81">
        <v>0</v>
      </c>
      <c r="AG501" s="81">
        <f t="shared" si="663"/>
        <v>310.77062414721121</v>
      </c>
      <c r="AH501" s="64"/>
      <c r="AI501" s="64"/>
      <c r="AJ501" s="67">
        <v>72</v>
      </c>
      <c r="AK501" s="73" t="s">
        <v>66</v>
      </c>
      <c r="AL501" s="67">
        <v>13296</v>
      </c>
      <c r="AM501" s="72" t="s">
        <v>681</v>
      </c>
      <c r="AN501" s="72" t="s">
        <v>682</v>
      </c>
      <c r="AO501" s="138">
        <f t="shared" si="664"/>
        <v>81070.597603620321</v>
      </c>
      <c r="AP501" s="65">
        <f t="shared" si="665"/>
        <v>27023.532534540107</v>
      </c>
      <c r="AQ501" s="65">
        <f t="shared" si="666"/>
        <v>2702.3532534540109</v>
      </c>
      <c r="AR501" s="65">
        <f t="shared" si="667"/>
        <v>2062.55218727389</v>
      </c>
      <c r="AS501" s="65">
        <f t="shared" si="668"/>
        <v>0</v>
      </c>
      <c r="AT501" s="65">
        <f t="shared" si="669"/>
        <v>13511.766267270054</v>
      </c>
      <c r="AU501" s="65">
        <f t="shared" si="670"/>
        <v>2702.3532534540109</v>
      </c>
      <c r="AV501" s="65">
        <f t="shared" si="671"/>
        <v>19829.02503594042</v>
      </c>
      <c r="AW501" s="65">
        <f t="shared" si="672"/>
        <v>10109.933609699587</v>
      </c>
      <c r="AX501" s="65">
        <f t="shared" si="673"/>
        <v>6410.8646859223754</v>
      </c>
      <c r="AY501" s="65">
        <f t="shared" si="674"/>
        <v>0</v>
      </c>
      <c r="AZ501" s="65">
        <f t="shared" si="675"/>
        <v>3729.2474897665343</v>
      </c>
      <c r="BB501" s="64"/>
      <c r="BC501" s="66"/>
      <c r="BD501" s="66"/>
      <c r="BE501" s="66"/>
    </row>
    <row r="502" spans="2:57" ht="21" customHeight="1" x14ac:dyDescent="0.2">
      <c r="B502" s="67">
        <v>73</v>
      </c>
      <c r="C502" s="73" t="s">
        <v>66</v>
      </c>
      <c r="D502" s="67">
        <v>13306</v>
      </c>
      <c r="E502" s="72" t="s">
        <v>683</v>
      </c>
      <c r="F502" s="72" t="s">
        <v>684</v>
      </c>
      <c r="G502" s="55">
        <v>42156</v>
      </c>
      <c r="H502" s="55" t="str">
        <f t="shared" si="650"/>
        <v>9 AÑOS</v>
      </c>
      <c r="I502" s="57">
        <v>3690.7146466389554</v>
      </c>
      <c r="J502" s="57"/>
      <c r="K502" s="57"/>
      <c r="L502" s="74"/>
      <c r="M502" s="171">
        <v>4.0000000000000002E-4</v>
      </c>
      <c r="N502" s="81">
        <f t="shared" si="651"/>
        <v>147.62858586555822</v>
      </c>
      <c r="O502" s="57">
        <f t="shared" si="652"/>
        <v>3838.3432325045137</v>
      </c>
      <c r="P502" s="81">
        <f t="shared" si="653"/>
        <v>7676.6864650090274</v>
      </c>
      <c r="Q502" s="81">
        <f t="shared" si="654"/>
        <v>5757.5148487567703</v>
      </c>
      <c r="R502" s="81">
        <f t="shared" si="655"/>
        <v>1919.1716162522569</v>
      </c>
      <c r="S502" s="81">
        <f t="shared" si="656"/>
        <v>255.88954883363425</v>
      </c>
      <c r="T502" s="57">
        <f t="shared" si="657"/>
        <v>293.73561310612871</v>
      </c>
      <c r="U502" s="81">
        <f t="shared" si="658"/>
        <v>2878.7574243783852</v>
      </c>
      <c r="V502" s="57">
        <f t="shared" si="659"/>
        <v>959.58580812612843</v>
      </c>
      <c r="W502" s="101">
        <v>2.5000000000000001E-2</v>
      </c>
      <c r="X502" s="158">
        <f t="shared" si="660"/>
        <v>191.9171616252257</v>
      </c>
      <c r="Y502" s="81">
        <v>44.762870320433308</v>
      </c>
      <c r="Z502" s="81">
        <v>0</v>
      </c>
      <c r="AA502" s="81">
        <f t="shared" si="661"/>
        <v>959.58580812612843</v>
      </c>
      <c r="AB502" s="81">
        <f t="shared" si="662"/>
        <v>191.9171616252257</v>
      </c>
      <c r="AC502" s="81">
        <v>1507.8902164007714</v>
      </c>
      <c r="AD502" s="81">
        <v>702.51277908527288</v>
      </c>
      <c r="AE502" s="81">
        <v>455.29020031449954</v>
      </c>
      <c r="AF502" s="81">
        <v>0</v>
      </c>
      <c r="AG502" s="81">
        <f t="shared" si="663"/>
        <v>264.8456830428114</v>
      </c>
      <c r="AH502" s="64"/>
      <c r="AI502" s="64"/>
      <c r="AJ502" s="67">
        <v>73</v>
      </c>
      <c r="AK502" s="73" t="s">
        <v>66</v>
      </c>
      <c r="AL502" s="67">
        <v>13306</v>
      </c>
      <c r="AM502" s="72" t="s">
        <v>683</v>
      </c>
      <c r="AN502" s="72" t="s">
        <v>684</v>
      </c>
      <c r="AO502" s="138">
        <f t="shared" si="664"/>
        <v>69090.17818508124</v>
      </c>
      <c r="AP502" s="65">
        <f t="shared" si="665"/>
        <v>23030.059395027081</v>
      </c>
      <c r="AQ502" s="65">
        <f t="shared" si="666"/>
        <v>2303.0059395027083</v>
      </c>
      <c r="AR502" s="65">
        <f t="shared" si="667"/>
        <v>537.15444384519969</v>
      </c>
      <c r="AS502" s="65">
        <f t="shared" si="668"/>
        <v>0</v>
      </c>
      <c r="AT502" s="65">
        <f t="shared" si="669"/>
        <v>11515.029697513541</v>
      </c>
      <c r="AU502" s="65">
        <f t="shared" si="670"/>
        <v>2303.0059395027083</v>
      </c>
      <c r="AV502" s="65">
        <f t="shared" si="671"/>
        <v>18094.682596809256</v>
      </c>
      <c r="AW502" s="65">
        <f t="shared" si="672"/>
        <v>8430.1533490232741</v>
      </c>
      <c r="AX502" s="65">
        <f t="shared" si="673"/>
        <v>5463.4824037739945</v>
      </c>
      <c r="AY502" s="65">
        <f t="shared" si="674"/>
        <v>0</v>
      </c>
      <c r="AZ502" s="65">
        <f t="shared" si="675"/>
        <v>3178.1481965137368</v>
      </c>
      <c r="BB502" s="64"/>
      <c r="BC502" s="66"/>
      <c r="BD502" s="66"/>
      <c r="BE502" s="66"/>
    </row>
    <row r="503" spans="2:57" ht="21" customHeight="1" x14ac:dyDescent="0.2">
      <c r="B503" s="67">
        <v>74</v>
      </c>
      <c r="C503" s="73" t="s">
        <v>66</v>
      </c>
      <c r="D503" s="67">
        <v>13282</v>
      </c>
      <c r="E503" s="72" t="s">
        <v>685</v>
      </c>
      <c r="F503" s="72" t="s">
        <v>686</v>
      </c>
      <c r="G503" s="123">
        <v>41890</v>
      </c>
      <c r="H503" s="56" t="str">
        <f t="shared" si="650"/>
        <v>10 AÑOS</v>
      </c>
      <c r="I503" s="57">
        <v>3524.630710013208</v>
      </c>
      <c r="J503" s="58"/>
      <c r="K503" s="58"/>
      <c r="L503" s="59"/>
      <c r="M503" s="60">
        <v>4.0000000000000002E-4</v>
      </c>
      <c r="N503" s="61">
        <f t="shared" si="651"/>
        <v>140.98522840052831</v>
      </c>
      <c r="O503" s="58">
        <f t="shared" si="652"/>
        <v>3665.6159384137363</v>
      </c>
      <c r="P503" s="61">
        <f t="shared" si="653"/>
        <v>7331.2318768274727</v>
      </c>
      <c r="Q503" s="61">
        <f t="shared" si="654"/>
        <v>5498.423907620605</v>
      </c>
      <c r="R503" s="61">
        <f t="shared" si="655"/>
        <v>1832.8079692068682</v>
      </c>
      <c r="S503" s="61">
        <f t="shared" si="656"/>
        <v>244.37439589424909</v>
      </c>
      <c r="T503" s="58">
        <f t="shared" si="657"/>
        <v>280.51736904700851</v>
      </c>
      <c r="U503" s="61">
        <f t="shared" si="658"/>
        <v>2749.2119538103025</v>
      </c>
      <c r="V503" s="58">
        <f t="shared" si="659"/>
        <v>916.40398460343408</v>
      </c>
      <c r="W503" s="101">
        <v>0.05</v>
      </c>
      <c r="X503" s="63">
        <f t="shared" si="660"/>
        <v>366.56159384137368</v>
      </c>
      <c r="Y503" s="61">
        <v>28.181050087718745</v>
      </c>
      <c r="Z503" s="61">
        <v>0</v>
      </c>
      <c r="AA503" s="61">
        <f t="shared" si="661"/>
        <v>916.4039846034342</v>
      </c>
      <c r="AB503" s="61">
        <f t="shared" si="662"/>
        <v>183.28079692068681</v>
      </c>
      <c r="AC503" s="61">
        <v>1471.6971401033604</v>
      </c>
      <c r="AD503" s="61">
        <v>670.89936568127791</v>
      </c>
      <c r="AE503" s="61">
        <v>434.80192202286321</v>
      </c>
      <c r="AF503" s="61">
        <v>0</v>
      </c>
      <c r="AG503" s="61">
        <f t="shared" si="663"/>
        <v>252.92749975054778</v>
      </c>
      <c r="AH503" s="64"/>
      <c r="AI503" s="64"/>
      <c r="AJ503" s="67">
        <v>74</v>
      </c>
      <c r="AK503" s="73" t="s">
        <v>66</v>
      </c>
      <c r="AL503" s="67">
        <v>13282</v>
      </c>
      <c r="AM503" s="72" t="s">
        <v>685</v>
      </c>
      <c r="AN503" s="72" t="s">
        <v>686</v>
      </c>
      <c r="AO503" s="138">
        <f t="shared" si="664"/>
        <v>65981.086891447252</v>
      </c>
      <c r="AP503" s="65">
        <f t="shared" si="665"/>
        <v>21993.69563048242</v>
      </c>
      <c r="AQ503" s="65">
        <f t="shared" si="666"/>
        <v>4398.7391260964841</v>
      </c>
      <c r="AR503" s="65">
        <f t="shared" si="667"/>
        <v>338.17260105262494</v>
      </c>
      <c r="AS503" s="65">
        <f t="shared" si="668"/>
        <v>0</v>
      </c>
      <c r="AT503" s="65">
        <f t="shared" si="669"/>
        <v>10996.84781524121</v>
      </c>
      <c r="AU503" s="65">
        <f t="shared" si="670"/>
        <v>2199.3695630482416</v>
      </c>
      <c r="AV503" s="65">
        <f t="shared" si="671"/>
        <v>17660.365681240324</v>
      </c>
      <c r="AW503" s="65">
        <f t="shared" si="672"/>
        <v>8050.792388175335</v>
      </c>
      <c r="AX503" s="65">
        <f t="shared" si="673"/>
        <v>5217.6230642743585</v>
      </c>
      <c r="AY503" s="65">
        <f t="shared" si="674"/>
        <v>0</v>
      </c>
      <c r="AZ503" s="65">
        <f t="shared" si="675"/>
        <v>3035.1299970065734</v>
      </c>
      <c r="BB503" s="64"/>
      <c r="BC503" s="66"/>
      <c r="BD503" s="66"/>
      <c r="BE503" s="66"/>
    </row>
    <row r="504" spans="2:57" ht="21" customHeight="1" x14ac:dyDescent="0.2">
      <c r="B504" s="67">
        <v>75</v>
      </c>
      <c r="C504" s="73" t="s">
        <v>66</v>
      </c>
      <c r="D504" s="67">
        <v>13409</v>
      </c>
      <c r="E504" s="73" t="s">
        <v>687</v>
      </c>
      <c r="F504" s="72" t="s">
        <v>688</v>
      </c>
      <c r="G504" s="123">
        <v>45474</v>
      </c>
      <c r="H504" s="56" t="str">
        <f t="shared" si="650"/>
        <v>0 AÑOS</v>
      </c>
      <c r="I504" s="57">
        <v>4336.2477916327089</v>
      </c>
      <c r="J504" s="58"/>
      <c r="K504" s="58"/>
      <c r="L504" s="59"/>
      <c r="M504" s="60">
        <v>4.0000000000000002E-4</v>
      </c>
      <c r="N504" s="61">
        <f t="shared" si="651"/>
        <v>173.44991166530835</v>
      </c>
      <c r="O504" s="58">
        <f t="shared" si="652"/>
        <v>4509.6977032980176</v>
      </c>
      <c r="P504" s="61">
        <f t="shared" si="653"/>
        <v>9019.3954065960352</v>
      </c>
      <c r="Q504" s="61">
        <f t="shared" si="654"/>
        <v>6764.5465549470264</v>
      </c>
      <c r="R504" s="61">
        <f t="shared" si="655"/>
        <v>2254.8488516490088</v>
      </c>
      <c r="S504" s="61">
        <f t="shared" si="656"/>
        <v>300.64651355320115</v>
      </c>
      <c r="T504" s="58">
        <f t="shared" si="657"/>
        <v>345.11213290771957</v>
      </c>
      <c r="U504" s="61">
        <f t="shared" si="658"/>
        <v>3382.2732774735132</v>
      </c>
      <c r="V504" s="58">
        <f t="shared" si="659"/>
        <v>1127.4244258245044</v>
      </c>
      <c r="W504" s="101">
        <v>7.4999999999999997E-2</v>
      </c>
      <c r="X504" s="63">
        <f t="shared" si="660"/>
        <v>676.45465549470259</v>
      </c>
      <c r="Y504" s="61">
        <v>172.82192917823642</v>
      </c>
      <c r="Z504" s="61">
        <v>0</v>
      </c>
      <c r="AA504" s="61">
        <f t="shared" si="661"/>
        <v>1127.4244258245042</v>
      </c>
      <c r="AB504" s="61">
        <f t="shared" si="662"/>
        <v>225.48488516490087</v>
      </c>
      <c r="AC504" s="61">
        <v>1653.8344931323497</v>
      </c>
      <c r="AD504" s="61">
        <v>843.57484207298432</v>
      </c>
      <c r="AE504" s="61">
        <v>534.92380600696538</v>
      </c>
      <c r="AF504" s="61">
        <v>0</v>
      </c>
      <c r="AG504" s="61">
        <f t="shared" si="663"/>
        <v>311.16914152756317</v>
      </c>
      <c r="AH504" s="64"/>
      <c r="AI504" s="64"/>
      <c r="AJ504" s="67">
        <v>75</v>
      </c>
      <c r="AK504" s="73" t="s">
        <v>66</v>
      </c>
      <c r="AL504" s="67">
        <v>13409</v>
      </c>
      <c r="AM504" s="73" t="s">
        <v>687</v>
      </c>
      <c r="AN504" s="72" t="s">
        <v>688</v>
      </c>
      <c r="AO504" s="138">
        <f t="shared" si="664"/>
        <v>81174.558659364324</v>
      </c>
      <c r="AP504" s="65">
        <f t="shared" si="665"/>
        <v>27058.186219788106</v>
      </c>
      <c r="AQ504" s="65">
        <f t="shared" si="666"/>
        <v>8117.4558659364311</v>
      </c>
      <c r="AR504" s="65">
        <f t="shared" si="667"/>
        <v>2073.8631501388372</v>
      </c>
      <c r="AS504" s="65">
        <f t="shared" si="668"/>
        <v>0</v>
      </c>
      <c r="AT504" s="65">
        <f t="shared" si="669"/>
        <v>13529.093109894049</v>
      </c>
      <c r="AU504" s="65">
        <f t="shared" si="670"/>
        <v>2705.8186219788104</v>
      </c>
      <c r="AV504" s="65">
        <f t="shared" si="671"/>
        <v>19846.013917588196</v>
      </c>
      <c r="AW504" s="65">
        <f t="shared" si="672"/>
        <v>10122.898104875812</v>
      </c>
      <c r="AX504" s="65">
        <f t="shared" si="673"/>
        <v>6419.0856720835845</v>
      </c>
      <c r="AY504" s="65">
        <f t="shared" si="674"/>
        <v>0</v>
      </c>
      <c r="AZ504" s="65">
        <f t="shared" si="675"/>
        <v>3734.029698330758</v>
      </c>
      <c r="BB504" s="64"/>
      <c r="BC504" s="66"/>
      <c r="BD504" s="66"/>
      <c r="BE504" s="66"/>
    </row>
    <row r="505" spans="2:57" ht="21" customHeight="1" x14ac:dyDescent="0.2">
      <c r="B505" s="67">
        <v>76</v>
      </c>
      <c r="C505" s="73" t="s">
        <v>66</v>
      </c>
      <c r="D505" s="67">
        <v>13250</v>
      </c>
      <c r="E505" s="72" t="s">
        <v>689</v>
      </c>
      <c r="F505" s="72" t="s">
        <v>688</v>
      </c>
      <c r="G505" s="123">
        <v>40455</v>
      </c>
      <c r="H505" s="56" t="str">
        <f t="shared" si="650"/>
        <v>14 AÑOS</v>
      </c>
      <c r="I505" s="57">
        <v>4336.2477916327089</v>
      </c>
      <c r="J505" s="58"/>
      <c r="K505" s="58"/>
      <c r="L505" s="59"/>
      <c r="M505" s="60">
        <v>4.0000000000000002E-4</v>
      </c>
      <c r="N505" s="61">
        <f t="shared" si="651"/>
        <v>173.44991166530835</v>
      </c>
      <c r="O505" s="58">
        <f t="shared" si="652"/>
        <v>4509.6977032980176</v>
      </c>
      <c r="P505" s="61">
        <f t="shared" si="653"/>
        <v>9019.3954065960352</v>
      </c>
      <c r="Q505" s="61">
        <f t="shared" si="654"/>
        <v>6764.5465549470264</v>
      </c>
      <c r="R505" s="61">
        <f t="shared" si="655"/>
        <v>2254.8488516490088</v>
      </c>
      <c r="S505" s="61">
        <f t="shared" si="656"/>
        <v>300.64651355320115</v>
      </c>
      <c r="T505" s="58">
        <f t="shared" si="657"/>
        <v>345.11213290771957</v>
      </c>
      <c r="U505" s="61">
        <f t="shared" si="658"/>
        <v>3382.2732774735132</v>
      </c>
      <c r="V505" s="58">
        <f t="shared" si="659"/>
        <v>1127.4244258245044</v>
      </c>
      <c r="W505" s="101">
        <v>0.05</v>
      </c>
      <c r="X505" s="63">
        <f t="shared" si="660"/>
        <v>450.9697703298018</v>
      </c>
      <c r="Y505" s="61">
        <v>172.82192917823642</v>
      </c>
      <c r="Z505" s="61">
        <v>0</v>
      </c>
      <c r="AA505" s="61">
        <f t="shared" si="661"/>
        <v>1127.4244258245042</v>
      </c>
      <c r="AB505" s="61">
        <f t="shared" si="662"/>
        <v>225.48488516490087</v>
      </c>
      <c r="AC505" s="61">
        <v>1653.8344931323497</v>
      </c>
      <c r="AD505" s="61">
        <v>843.57484207298432</v>
      </c>
      <c r="AE505" s="61">
        <v>534.92380600696538</v>
      </c>
      <c r="AF505" s="61">
        <v>0</v>
      </c>
      <c r="AG505" s="61">
        <f t="shared" si="663"/>
        <v>311.16914152756317</v>
      </c>
      <c r="AH505" s="64"/>
      <c r="AI505" s="64"/>
      <c r="AJ505" s="67">
        <v>76</v>
      </c>
      <c r="AK505" s="73" t="s">
        <v>66</v>
      </c>
      <c r="AL505" s="67">
        <v>13250</v>
      </c>
      <c r="AM505" s="72" t="s">
        <v>689</v>
      </c>
      <c r="AN505" s="72" t="s">
        <v>688</v>
      </c>
      <c r="AO505" s="138">
        <f t="shared" si="664"/>
        <v>81174.558659364324</v>
      </c>
      <c r="AP505" s="65">
        <f t="shared" si="665"/>
        <v>27058.186219788106</v>
      </c>
      <c r="AQ505" s="65">
        <f t="shared" si="666"/>
        <v>5411.6372439576216</v>
      </c>
      <c r="AR505" s="65">
        <f t="shared" si="667"/>
        <v>2073.8631501388372</v>
      </c>
      <c r="AS505" s="65">
        <f t="shared" si="668"/>
        <v>0</v>
      </c>
      <c r="AT505" s="65">
        <f t="shared" si="669"/>
        <v>13529.093109894049</v>
      </c>
      <c r="AU505" s="65">
        <f t="shared" si="670"/>
        <v>2705.8186219788104</v>
      </c>
      <c r="AV505" s="65">
        <f t="shared" si="671"/>
        <v>19846.013917588196</v>
      </c>
      <c r="AW505" s="65">
        <f t="shared" si="672"/>
        <v>10122.898104875812</v>
      </c>
      <c r="AX505" s="65">
        <f t="shared" si="673"/>
        <v>6419.0856720835845</v>
      </c>
      <c r="AY505" s="65">
        <f t="shared" si="674"/>
        <v>0</v>
      </c>
      <c r="AZ505" s="65">
        <f t="shared" si="675"/>
        <v>3734.029698330758</v>
      </c>
      <c r="BB505" s="64"/>
      <c r="BC505" s="66"/>
      <c r="BD505" s="66"/>
      <c r="BE505" s="66"/>
    </row>
    <row r="506" spans="2:57" ht="21" customHeight="1" x14ac:dyDescent="0.2">
      <c r="B506" s="67">
        <v>77</v>
      </c>
      <c r="C506" s="73" t="s">
        <v>66</v>
      </c>
      <c r="D506" s="67">
        <v>13238</v>
      </c>
      <c r="E506" s="72" t="s">
        <v>690</v>
      </c>
      <c r="F506" s="72" t="s">
        <v>688</v>
      </c>
      <c r="G506" s="123">
        <v>40058</v>
      </c>
      <c r="H506" s="56" t="str">
        <f t="shared" si="650"/>
        <v>15 AÑOS</v>
      </c>
      <c r="I506" s="57">
        <v>4336.2477916327089</v>
      </c>
      <c r="J506" s="58"/>
      <c r="K506" s="58"/>
      <c r="L506" s="59"/>
      <c r="M506" s="60">
        <v>4.0000000000000002E-4</v>
      </c>
      <c r="N506" s="61">
        <f t="shared" si="651"/>
        <v>173.44991166530835</v>
      </c>
      <c r="O506" s="58">
        <f t="shared" si="652"/>
        <v>4509.6977032980176</v>
      </c>
      <c r="P506" s="61">
        <f t="shared" si="653"/>
        <v>9019.3954065960352</v>
      </c>
      <c r="Q506" s="61">
        <f t="shared" si="654"/>
        <v>6764.5465549470264</v>
      </c>
      <c r="R506" s="61">
        <f t="shared" si="655"/>
        <v>2254.8488516490088</v>
      </c>
      <c r="S506" s="61">
        <f t="shared" si="656"/>
        <v>300.64651355320115</v>
      </c>
      <c r="T506" s="58">
        <f t="shared" si="657"/>
        <v>345.11213290771957</v>
      </c>
      <c r="U506" s="61">
        <f t="shared" si="658"/>
        <v>3382.2732774735132</v>
      </c>
      <c r="V506" s="58">
        <f t="shared" si="659"/>
        <v>1127.4244258245044</v>
      </c>
      <c r="W506" s="101">
        <v>7.4999999999999997E-2</v>
      </c>
      <c r="X506" s="63">
        <f t="shared" si="660"/>
        <v>676.45465549470259</v>
      </c>
      <c r="Y506" s="61">
        <v>172.82192917823642</v>
      </c>
      <c r="Z506" s="61">
        <v>0</v>
      </c>
      <c r="AA506" s="61">
        <f t="shared" si="661"/>
        <v>1127.4244258245042</v>
      </c>
      <c r="AB506" s="61">
        <f t="shared" si="662"/>
        <v>225.48488516490087</v>
      </c>
      <c r="AC506" s="61">
        <v>1653.8344931323497</v>
      </c>
      <c r="AD506" s="61">
        <v>843.57484207298432</v>
      </c>
      <c r="AE506" s="61">
        <v>534.92380600696538</v>
      </c>
      <c r="AF506" s="61">
        <v>0</v>
      </c>
      <c r="AG506" s="61">
        <f t="shared" si="663"/>
        <v>311.16914152756317</v>
      </c>
      <c r="AH506" s="64"/>
      <c r="AI506" s="64"/>
      <c r="AJ506" s="67">
        <v>77</v>
      </c>
      <c r="AK506" s="73" t="s">
        <v>66</v>
      </c>
      <c r="AL506" s="67">
        <v>13238</v>
      </c>
      <c r="AM506" s="72" t="s">
        <v>690</v>
      </c>
      <c r="AN506" s="72" t="s">
        <v>688</v>
      </c>
      <c r="AO506" s="138">
        <f t="shared" si="664"/>
        <v>81174.558659364324</v>
      </c>
      <c r="AP506" s="65">
        <f t="shared" si="665"/>
        <v>27058.186219788106</v>
      </c>
      <c r="AQ506" s="65">
        <f t="shared" si="666"/>
        <v>8117.4558659364311</v>
      </c>
      <c r="AR506" s="65">
        <f t="shared" si="667"/>
        <v>2073.8631501388372</v>
      </c>
      <c r="AS506" s="65">
        <f t="shared" si="668"/>
        <v>0</v>
      </c>
      <c r="AT506" s="65">
        <f t="shared" si="669"/>
        <v>13529.093109894049</v>
      </c>
      <c r="AU506" s="65">
        <f t="shared" si="670"/>
        <v>2705.8186219788104</v>
      </c>
      <c r="AV506" s="65">
        <f t="shared" si="671"/>
        <v>19846.013917588196</v>
      </c>
      <c r="AW506" s="65">
        <f t="shared" si="672"/>
        <v>10122.898104875812</v>
      </c>
      <c r="AX506" s="65">
        <f t="shared" si="673"/>
        <v>6419.0856720835845</v>
      </c>
      <c r="AY506" s="65">
        <f t="shared" si="674"/>
        <v>0</v>
      </c>
      <c r="AZ506" s="65">
        <f t="shared" si="675"/>
        <v>3734.029698330758</v>
      </c>
      <c r="BB506" s="64"/>
      <c r="BC506" s="66"/>
      <c r="BD506" s="66"/>
      <c r="BE506" s="66"/>
    </row>
    <row r="507" spans="2:57" ht="21" customHeight="1" x14ac:dyDescent="0.2">
      <c r="B507" s="67">
        <v>78</v>
      </c>
      <c r="C507" s="73" t="s">
        <v>66</v>
      </c>
      <c r="D507" s="67">
        <v>13008</v>
      </c>
      <c r="E507" s="72" t="s">
        <v>691</v>
      </c>
      <c r="F507" s="72" t="s">
        <v>692</v>
      </c>
      <c r="G507" s="123">
        <v>36234</v>
      </c>
      <c r="H507" s="56" t="str">
        <f t="shared" si="650"/>
        <v>25 AÑOS</v>
      </c>
      <c r="I507" s="57">
        <v>4330.5693916327091</v>
      </c>
      <c r="J507" s="58"/>
      <c r="K507" s="58"/>
      <c r="L507" s="59"/>
      <c r="M507" s="60">
        <v>4.0000000000000002E-4</v>
      </c>
      <c r="N507" s="61">
        <f t="shared" si="651"/>
        <v>173.22277566530838</v>
      </c>
      <c r="O507" s="58">
        <f t="shared" si="652"/>
        <v>4503.7921672980174</v>
      </c>
      <c r="P507" s="61">
        <f t="shared" si="653"/>
        <v>9007.5843345960348</v>
      </c>
      <c r="Q507" s="61">
        <f t="shared" si="654"/>
        <v>6755.6882509470261</v>
      </c>
      <c r="R507" s="61">
        <f t="shared" si="655"/>
        <v>2251.8960836490087</v>
      </c>
      <c r="S507" s="61">
        <f t="shared" si="656"/>
        <v>300.25281115320115</v>
      </c>
      <c r="T507" s="58">
        <f t="shared" si="657"/>
        <v>344.6602019227596</v>
      </c>
      <c r="U507" s="61">
        <f t="shared" si="658"/>
        <v>3377.844125473513</v>
      </c>
      <c r="V507" s="58">
        <f t="shared" si="659"/>
        <v>1125.9480418245043</v>
      </c>
      <c r="W507" s="101">
        <v>7.4999999999999997E-2</v>
      </c>
      <c r="X507" s="63">
        <f t="shared" si="660"/>
        <v>675.56882509470256</v>
      </c>
      <c r="Y507" s="61">
        <v>171.85814570303637</v>
      </c>
      <c r="Z507" s="61">
        <v>0</v>
      </c>
      <c r="AA507" s="61">
        <f t="shared" si="661"/>
        <v>1125.9480418245043</v>
      </c>
      <c r="AB507" s="61">
        <f t="shared" si="662"/>
        <v>225.18960836490086</v>
      </c>
      <c r="AC507" s="61">
        <v>1652.3869060798804</v>
      </c>
      <c r="AD507" s="61">
        <v>842.47016456989741</v>
      </c>
      <c r="AE507" s="61">
        <v>534.22331298027746</v>
      </c>
      <c r="AF507" s="61">
        <v>0</v>
      </c>
      <c r="AG507" s="61">
        <f t="shared" si="663"/>
        <v>310.76165954356316</v>
      </c>
      <c r="AH507" s="64"/>
      <c r="AI507" s="64"/>
      <c r="AJ507" s="67">
        <v>78</v>
      </c>
      <c r="AK507" s="73" t="s">
        <v>66</v>
      </c>
      <c r="AL507" s="67">
        <v>13008</v>
      </c>
      <c r="AM507" s="72" t="s">
        <v>691</v>
      </c>
      <c r="AN507" s="72" t="s">
        <v>692</v>
      </c>
      <c r="AO507" s="138">
        <f t="shared" si="664"/>
        <v>81068.259011364309</v>
      </c>
      <c r="AP507" s="65">
        <f t="shared" si="665"/>
        <v>27022.753003788104</v>
      </c>
      <c r="AQ507" s="65">
        <f t="shared" si="666"/>
        <v>8106.8259011364307</v>
      </c>
      <c r="AR507" s="65">
        <f t="shared" si="667"/>
        <v>2062.2977484364364</v>
      </c>
      <c r="AS507" s="65">
        <f t="shared" si="668"/>
        <v>0</v>
      </c>
      <c r="AT507" s="65">
        <f t="shared" si="669"/>
        <v>13511.376501894052</v>
      </c>
      <c r="AU507" s="65">
        <f t="shared" si="670"/>
        <v>2702.2753003788102</v>
      </c>
      <c r="AV507" s="65">
        <f t="shared" si="671"/>
        <v>19828.642872958564</v>
      </c>
      <c r="AW507" s="65">
        <f t="shared" si="672"/>
        <v>10109.641974838769</v>
      </c>
      <c r="AX507" s="65">
        <f t="shared" si="673"/>
        <v>6410.679755763329</v>
      </c>
      <c r="AY507" s="65">
        <f t="shared" si="674"/>
        <v>0</v>
      </c>
      <c r="AZ507" s="65">
        <f t="shared" si="675"/>
        <v>3729.1399145227579</v>
      </c>
      <c r="BB507" s="64"/>
      <c r="BC507" s="66"/>
      <c r="BD507" s="66"/>
      <c r="BE507" s="66"/>
    </row>
    <row r="508" spans="2:57" ht="21" customHeight="1" x14ac:dyDescent="0.2">
      <c r="B508" s="67">
        <v>79</v>
      </c>
      <c r="C508" s="73" t="s">
        <v>66</v>
      </c>
      <c r="D508" s="67">
        <v>13377</v>
      </c>
      <c r="E508" s="73" t="s">
        <v>693</v>
      </c>
      <c r="F508" s="72" t="s">
        <v>692</v>
      </c>
      <c r="G508" s="123">
        <v>44317</v>
      </c>
      <c r="H508" s="56" t="str">
        <f t="shared" si="650"/>
        <v>3 AÑOS</v>
      </c>
      <c r="I508" s="57">
        <v>4330.5693916327091</v>
      </c>
      <c r="J508" s="58"/>
      <c r="K508" s="58"/>
      <c r="L508" s="59"/>
      <c r="M508" s="60">
        <v>4.0000000000000002E-4</v>
      </c>
      <c r="N508" s="61">
        <f t="shared" si="651"/>
        <v>173.22277566530838</v>
      </c>
      <c r="O508" s="58">
        <f t="shared" si="652"/>
        <v>4503.7921672980174</v>
      </c>
      <c r="P508" s="61">
        <f t="shared" si="653"/>
        <v>9007.5843345960348</v>
      </c>
      <c r="Q508" s="61">
        <f t="shared" si="654"/>
        <v>6755.6882509470261</v>
      </c>
      <c r="R508" s="61">
        <f t="shared" si="655"/>
        <v>2251.8960836490087</v>
      </c>
      <c r="S508" s="61">
        <f t="shared" si="656"/>
        <v>300.25281115320115</v>
      </c>
      <c r="T508" s="58">
        <f t="shared" si="657"/>
        <v>344.6602019227596</v>
      </c>
      <c r="U508" s="61">
        <f t="shared" si="658"/>
        <v>3377.844125473513</v>
      </c>
      <c r="V508" s="58">
        <f t="shared" si="659"/>
        <v>1125.9480418245043</v>
      </c>
      <c r="W508" s="101">
        <v>0</v>
      </c>
      <c r="X508" s="63">
        <f t="shared" si="660"/>
        <v>0</v>
      </c>
      <c r="Y508" s="61">
        <v>171.85814570303637</v>
      </c>
      <c r="Z508" s="61">
        <v>0</v>
      </c>
      <c r="AA508" s="61">
        <f t="shared" si="661"/>
        <v>1125.9480418245043</v>
      </c>
      <c r="AB508" s="61">
        <f t="shared" si="662"/>
        <v>225.18960836490086</v>
      </c>
      <c r="AC508" s="61">
        <v>1652.3869060798804</v>
      </c>
      <c r="AD508" s="61">
        <v>842.47016456989741</v>
      </c>
      <c r="AE508" s="61">
        <v>534.22331298027746</v>
      </c>
      <c r="AF508" s="61">
        <v>0</v>
      </c>
      <c r="AG508" s="61">
        <f t="shared" si="663"/>
        <v>310.76165954356316</v>
      </c>
      <c r="AH508" s="64"/>
      <c r="AI508" s="64"/>
      <c r="AJ508" s="67">
        <v>79</v>
      </c>
      <c r="AK508" s="73" t="s">
        <v>66</v>
      </c>
      <c r="AL508" s="67">
        <v>13377</v>
      </c>
      <c r="AM508" s="73" t="s">
        <v>693</v>
      </c>
      <c r="AN508" s="72" t="s">
        <v>692</v>
      </c>
      <c r="AO508" s="138">
        <f t="shared" si="664"/>
        <v>81068.259011364309</v>
      </c>
      <c r="AP508" s="65">
        <f t="shared" si="665"/>
        <v>27022.753003788104</v>
      </c>
      <c r="AQ508" s="65">
        <f t="shared" si="666"/>
        <v>0</v>
      </c>
      <c r="AR508" s="65">
        <f t="shared" si="667"/>
        <v>2062.2977484364364</v>
      </c>
      <c r="AS508" s="65">
        <f t="shared" si="668"/>
        <v>0</v>
      </c>
      <c r="AT508" s="65">
        <f t="shared" si="669"/>
        <v>13511.376501894052</v>
      </c>
      <c r="AU508" s="65">
        <f t="shared" si="670"/>
        <v>2702.2753003788102</v>
      </c>
      <c r="AV508" s="65">
        <f t="shared" si="671"/>
        <v>19828.642872958564</v>
      </c>
      <c r="AW508" s="65">
        <f t="shared" si="672"/>
        <v>10109.641974838769</v>
      </c>
      <c r="AX508" s="65">
        <f t="shared" si="673"/>
        <v>6410.679755763329</v>
      </c>
      <c r="AY508" s="65">
        <f t="shared" si="674"/>
        <v>0</v>
      </c>
      <c r="AZ508" s="65">
        <f t="shared" si="675"/>
        <v>3729.1399145227579</v>
      </c>
      <c r="BB508" s="64"/>
      <c r="BC508" s="66"/>
      <c r="BD508" s="66"/>
      <c r="BE508" s="66"/>
    </row>
    <row r="509" spans="2:57" ht="21" customHeight="1" x14ac:dyDescent="0.2">
      <c r="B509" s="67">
        <v>80</v>
      </c>
      <c r="C509" s="73" t="s">
        <v>66</v>
      </c>
      <c r="D509" s="67">
        <v>13359</v>
      </c>
      <c r="E509" s="73" t="s">
        <v>694</v>
      </c>
      <c r="F509" s="72" t="s">
        <v>692</v>
      </c>
      <c r="G509" s="178">
        <v>43862</v>
      </c>
      <c r="H509" s="56" t="str">
        <f t="shared" si="650"/>
        <v>4 AÑOS</v>
      </c>
      <c r="I509" s="57">
        <v>4330.5693916327091</v>
      </c>
      <c r="J509" s="58"/>
      <c r="K509" s="58"/>
      <c r="L509" s="59"/>
      <c r="M509" s="60">
        <v>4.0000000000000002E-4</v>
      </c>
      <c r="N509" s="61">
        <f t="shared" si="651"/>
        <v>173.22277566530838</v>
      </c>
      <c r="O509" s="58">
        <f t="shared" si="652"/>
        <v>4503.7921672980174</v>
      </c>
      <c r="P509" s="61">
        <f t="shared" si="653"/>
        <v>9007.5843345960348</v>
      </c>
      <c r="Q509" s="61">
        <f t="shared" si="654"/>
        <v>6755.6882509470261</v>
      </c>
      <c r="R509" s="61">
        <f t="shared" si="655"/>
        <v>2251.8960836490087</v>
      </c>
      <c r="S509" s="61">
        <f t="shared" si="656"/>
        <v>300.25281115320115</v>
      </c>
      <c r="T509" s="58">
        <f t="shared" si="657"/>
        <v>344.6602019227596</v>
      </c>
      <c r="U509" s="61">
        <f t="shared" si="658"/>
        <v>3377.844125473513</v>
      </c>
      <c r="V509" s="58">
        <f t="shared" si="659"/>
        <v>1125.9480418245043</v>
      </c>
      <c r="W509" s="101">
        <v>0</v>
      </c>
      <c r="X509" s="63">
        <f t="shared" si="660"/>
        <v>0</v>
      </c>
      <c r="Y509" s="61">
        <v>171.85814570303637</v>
      </c>
      <c r="Z509" s="61">
        <v>0</v>
      </c>
      <c r="AA509" s="61">
        <f t="shared" si="661"/>
        <v>1125.9480418245043</v>
      </c>
      <c r="AB509" s="61">
        <f t="shared" si="662"/>
        <v>225.18960836490086</v>
      </c>
      <c r="AC509" s="61">
        <v>1652.3869060798804</v>
      </c>
      <c r="AD509" s="61">
        <v>842.47016456989741</v>
      </c>
      <c r="AE509" s="61">
        <v>534.22331298027746</v>
      </c>
      <c r="AF509" s="61">
        <v>0</v>
      </c>
      <c r="AG509" s="61">
        <f t="shared" si="663"/>
        <v>310.76165954356316</v>
      </c>
      <c r="AH509" s="64"/>
      <c r="AI509" s="64"/>
      <c r="AJ509" s="67">
        <v>80</v>
      </c>
      <c r="AK509" s="73" t="s">
        <v>66</v>
      </c>
      <c r="AL509" s="67">
        <v>13359</v>
      </c>
      <c r="AM509" s="73" t="s">
        <v>694</v>
      </c>
      <c r="AN509" s="72" t="s">
        <v>692</v>
      </c>
      <c r="AO509" s="138">
        <f t="shared" si="664"/>
        <v>81068.259011364309</v>
      </c>
      <c r="AP509" s="65">
        <f t="shared" si="665"/>
        <v>27022.753003788104</v>
      </c>
      <c r="AQ509" s="65">
        <f t="shared" si="666"/>
        <v>0</v>
      </c>
      <c r="AR509" s="65">
        <f t="shared" si="667"/>
        <v>2062.2977484364364</v>
      </c>
      <c r="AS509" s="65">
        <f t="shared" si="668"/>
        <v>0</v>
      </c>
      <c r="AT509" s="65">
        <f t="shared" si="669"/>
        <v>13511.376501894052</v>
      </c>
      <c r="AU509" s="65">
        <f t="shared" si="670"/>
        <v>2702.2753003788102</v>
      </c>
      <c r="AV509" s="65">
        <f t="shared" si="671"/>
        <v>19828.642872958564</v>
      </c>
      <c r="AW509" s="65">
        <f t="shared" si="672"/>
        <v>10109.641974838769</v>
      </c>
      <c r="AX509" s="65">
        <f t="shared" si="673"/>
        <v>6410.679755763329</v>
      </c>
      <c r="AY509" s="65">
        <f t="shared" si="674"/>
        <v>0</v>
      </c>
      <c r="AZ509" s="65">
        <f t="shared" si="675"/>
        <v>3729.1399145227579</v>
      </c>
      <c r="BB509" s="64"/>
      <c r="BC509" s="66"/>
      <c r="BD509" s="66"/>
      <c r="BE509" s="66"/>
    </row>
    <row r="510" spans="2:57" ht="21" customHeight="1" x14ac:dyDescent="0.2">
      <c r="B510" s="67">
        <v>81</v>
      </c>
      <c r="C510" s="73" t="s">
        <v>66</v>
      </c>
      <c r="D510" s="67">
        <v>13231</v>
      </c>
      <c r="E510" s="72" t="s">
        <v>695</v>
      </c>
      <c r="F510" s="72" t="s">
        <v>696</v>
      </c>
      <c r="G510" s="123">
        <v>40010</v>
      </c>
      <c r="H510" s="56" t="str">
        <f t="shared" si="650"/>
        <v>15 AÑOS</v>
      </c>
      <c r="I510" s="57">
        <v>3996.2251996327095</v>
      </c>
      <c r="J510" s="58"/>
      <c r="K510" s="58"/>
      <c r="L510" s="59"/>
      <c r="M510" s="60">
        <v>4.0000000000000002E-4</v>
      </c>
      <c r="N510" s="61">
        <f t="shared" si="651"/>
        <v>159.84900798530839</v>
      </c>
      <c r="O510" s="58">
        <f t="shared" si="652"/>
        <v>4156.0742076180177</v>
      </c>
      <c r="P510" s="61">
        <f t="shared" si="653"/>
        <v>8312.1484152360354</v>
      </c>
      <c r="Q510" s="61">
        <f t="shared" si="654"/>
        <v>6234.1113114270265</v>
      </c>
      <c r="R510" s="61">
        <f t="shared" si="655"/>
        <v>2078.0371038090088</v>
      </c>
      <c r="S510" s="61">
        <f t="shared" si="656"/>
        <v>277.07161384120116</v>
      </c>
      <c r="T510" s="58">
        <f t="shared" si="657"/>
        <v>318.05050552831477</v>
      </c>
      <c r="U510" s="61">
        <f t="shared" si="658"/>
        <v>3117.0556557135133</v>
      </c>
      <c r="V510" s="58">
        <f t="shared" si="659"/>
        <v>1039.0185519045044</v>
      </c>
      <c r="W510" s="101">
        <v>7.4999999999999997E-2</v>
      </c>
      <c r="X510" s="63">
        <f t="shared" si="660"/>
        <v>623.41113114270263</v>
      </c>
      <c r="Y510" s="61">
        <v>115.76504393132973</v>
      </c>
      <c r="Z510" s="61">
        <v>0</v>
      </c>
      <c r="AA510" s="61">
        <f t="shared" si="661"/>
        <v>1039.0185519045042</v>
      </c>
      <c r="AB510" s="61">
        <f t="shared" si="662"/>
        <v>207.80371038090087</v>
      </c>
      <c r="AC510" s="61">
        <v>1574.4671953598131</v>
      </c>
      <c r="AD510" s="61">
        <v>777.42675318813622</v>
      </c>
      <c r="AE510" s="61">
        <v>492.97828356888789</v>
      </c>
      <c r="AF510" s="61">
        <v>0</v>
      </c>
      <c r="AG510" s="61">
        <f t="shared" si="663"/>
        <v>286.7691203256432</v>
      </c>
      <c r="AH510" s="64"/>
      <c r="AI510" s="64"/>
      <c r="AJ510" s="67">
        <v>81</v>
      </c>
      <c r="AK510" s="73" t="s">
        <v>66</v>
      </c>
      <c r="AL510" s="67">
        <v>13231</v>
      </c>
      <c r="AM510" s="72" t="s">
        <v>695</v>
      </c>
      <c r="AN510" s="72" t="s">
        <v>696</v>
      </c>
      <c r="AO510" s="138">
        <f t="shared" si="664"/>
        <v>74809.335737124318</v>
      </c>
      <c r="AP510" s="65">
        <f t="shared" si="665"/>
        <v>24936.445245708106</v>
      </c>
      <c r="AQ510" s="65">
        <f t="shared" si="666"/>
        <v>7480.9335737124311</v>
      </c>
      <c r="AR510" s="65">
        <f t="shared" si="667"/>
        <v>1389.1805271759567</v>
      </c>
      <c r="AS510" s="65">
        <f t="shared" si="668"/>
        <v>0</v>
      </c>
      <c r="AT510" s="65">
        <f t="shared" si="669"/>
        <v>12468.222622854049</v>
      </c>
      <c r="AU510" s="65">
        <f t="shared" si="670"/>
        <v>2493.6445245708105</v>
      </c>
      <c r="AV510" s="65">
        <f t="shared" si="671"/>
        <v>18893.606344317755</v>
      </c>
      <c r="AW510" s="65">
        <f t="shared" si="672"/>
        <v>9329.1210382576355</v>
      </c>
      <c r="AX510" s="65">
        <f t="shared" si="673"/>
        <v>5915.7394028266544</v>
      </c>
      <c r="AY510" s="65">
        <f t="shared" si="674"/>
        <v>0</v>
      </c>
      <c r="AZ510" s="65">
        <f t="shared" si="675"/>
        <v>3441.2294439077186</v>
      </c>
      <c r="BB510" s="64"/>
      <c r="BC510" s="66"/>
      <c r="BD510" s="66"/>
      <c r="BE510" s="66"/>
    </row>
    <row r="511" spans="2:57" ht="21" customHeight="1" x14ac:dyDescent="0.2">
      <c r="B511" s="67">
        <v>82</v>
      </c>
      <c r="C511" s="73" t="s">
        <v>66</v>
      </c>
      <c r="D511" s="67">
        <v>13253</v>
      </c>
      <c r="E511" s="72" t="s">
        <v>697</v>
      </c>
      <c r="F511" s="72" t="s">
        <v>696</v>
      </c>
      <c r="G511" s="123">
        <v>40634</v>
      </c>
      <c r="H511" s="56" t="str">
        <f t="shared" si="650"/>
        <v>13 AÑOS</v>
      </c>
      <c r="I511" s="57">
        <v>3996.2251996327095</v>
      </c>
      <c r="J511" s="58"/>
      <c r="K511" s="58"/>
      <c r="L511" s="59"/>
      <c r="M511" s="60">
        <v>4.0000000000000002E-4</v>
      </c>
      <c r="N511" s="61">
        <f t="shared" si="651"/>
        <v>159.84900798530839</v>
      </c>
      <c r="O511" s="58">
        <f t="shared" si="652"/>
        <v>4156.0742076180177</v>
      </c>
      <c r="P511" s="61">
        <f t="shared" si="653"/>
        <v>8312.1484152360354</v>
      </c>
      <c r="Q511" s="61">
        <f t="shared" si="654"/>
        <v>6234.1113114270265</v>
      </c>
      <c r="R511" s="61">
        <f t="shared" si="655"/>
        <v>2078.0371038090088</v>
      </c>
      <c r="S511" s="61">
        <f t="shared" si="656"/>
        <v>277.07161384120116</v>
      </c>
      <c r="T511" s="58">
        <f t="shared" si="657"/>
        <v>318.05050552831477</v>
      </c>
      <c r="U511" s="61">
        <f t="shared" si="658"/>
        <v>3117.0556557135133</v>
      </c>
      <c r="V511" s="58">
        <f t="shared" si="659"/>
        <v>1039.0185519045044</v>
      </c>
      <c r="W511" s="101">
        <v>0.05</v>
      </c>
      <c r="X511" s="63">
        <f t="shared" si="660"/>
        <v>415.60742076180179</v>
      </c>
      <c r="Y511" s="61">
        <v>115.76504393132973</v>
      </c>
      <c r="Z511" s="61">
        <v>0</v>
      </c>
      <c r="AA511" s="61">
        <f t="shared" si="661"/>
        <v>1039.0185519045042</v>
      </c>
      <c r="AB511" s="61">
        <f t="shared" si="662"/>
        <v>207.80371038090087</v>
      </c>
      <c r="AC511" s="61">
        <v>1574.4671953598131</v>
      </c>
      <c r="AD511" s="61">
        <v>777.42675318813622</v>
      </c>
      <c r="AE511" s="61">
        <v>492.97828356888789</v>
      </c>
      <c r="AF511" s="61">
        <v>0</v>
      </c>
      <c r="AG511" s="61">
        <f t="shared" si="663"/>
        <v>286.7691203256432</v>
      </c>
      <c r="AH511" s="64"/>
      <c r="AI511" s="64"/>
      <c r="AJ511" s="67">
        <v>82</v>
      </c>
      <c r="AK511" s="73" t="s">
        <v>66</v>
      </c>
      <c r="AL511" s="67">
        <v>13253</v>
      </c>
      <c r="AM511" s="72" t="s">
        <v>697</v>
      </c>
      <c r="AN511" s="72" t="s">
        <v>696</v>
      </c>
      <c r="AO511" s="138">
        <f t="shared" si="664"/>
        <v>74809.335737124318</v>
      </c>
      <c r="AP511" s="65">
        <f t="shared" si="665"/>
        <v>24936.445245708106</v>
      </c>
      <c r="AQ511" s="65">
        <f t="shared" si="666"/>
        <v>4987.2890491416219</v>
      </c>
      <c r="AR511" s="65">
        <f t="shared" si="667"/>
        <v>1389.1805271759567</v>
      </c>
      <c r="AS511" s="65">
        <f t="shared" si="668"/>
        <v>0</v>
      </c>
      <c r="AT511" s="65">
        <f t="shared" si="669"/>
        <v>12468.222622854049</v>
      </c>
      <c r="AU511" s="65">
        <f t="shared" si="670"/>
        <v>2493.6445245708105</v>
      </c>
      <c r="AV511" s="65">
        <f t="shared" si="671"/>
        <v>18893.606344317755</v>
      </c>
      <c r="AW511" s="65">
        <f t="shared" si="672"/>
        <v>9329.1210382576355</v>
      </c>
      <c r="AX511" s="65">
        <f t="shared" si="673"/>
        <v>5915.7394028266544</v>
      </c>
      <c r="AY511" s="65">
        <f t="shared" si="674"/>
        <v>0</v>
      </c>
      <c r="AZ511" s="65">
        <f t="shared" si="675"/>
        <v>3441.2294439077186</v>
      </c>
      <c r="BB511" s="64"/>
      <c r="BC511" s="66"/>
      <c r="BD511" s="66"/>
      <c r="BE511" s="66"/>
    </row>
    <row r="512" spans="2:57" ht="21" customHeight="1" x14ac:dyDescent="0.2">
      <c r="B512" s="67">
        <v>83</v>
      </c>
      <c r="C512" s="73" t="s">
        <v>66</v>
      </c>
      <c r="D512" s="67">
        <v>13221</v>
      </c>
      <c r="E512" s="72" t="s">
        <v>698</v>
      </c>
      <c r="F512" s="72" t="s">
        <v>696</v>
      </c>
      <c r="G512" s="123">
        <v>39692</v>
      </c>
      <c r="H512" s="56" t="str">
        <f t="shared" si="650"/>
        <v>16 AÑOS</v>
      </c>
      <c r="I512" s="57">
        <v>4056.584407676487</v>
      </c>
      <c r="J512" s="58"/>
      <c r="K512" s="58"/>
      <c r="L512" s="59"/>
      <c r="M512" s="60">
        <v>4.0000000000000002E-4</v>
      </c>
      <c r="N512" s="61">
        <f t="shared" si="651"/>
        <v>162.26337630705947</v>
      </c>
      <c r="O512" s="58">
        <f t="shared" si="652"/>
        <v>4218.8477839835468</v>
      </c>
      <c r="P512" s="61">
        <f>O512*2</f>
        <v>8437.6955679670937</v>
      </c>
      <c r="Q512" s="61">
        <f>P512*0.75</f>
        <v>6328.2716759753202</v>
      </c>
      <c r="R512" s="61">
        <f>P512*0.25</f>
        <v>2109.4238919917734</v>
      </c>
      <c r="S512" s="61">
        <f>(P512/30)</f>
        <v>281.25651893223647</v>
      </c>
      <c r="T512" s="58">
        <f t="shared" si="657"/>
        <v>322.85435808231421</v>
      </c>
      <c r="U512" s="61">
        <f>O512*0.75</f>
        <v>3164.1358379876601</v>
      </c>
      <c r="V512" s="58">
        <f>O512*0.25</f>
        <v>1054.7119459958867</v>
      </c>
      <c r="W512" s="101">
        <v>7.4999999999999997E-2</v>
      </c>
      <c r="X512" s="63">
        <f t="shared" si="660"/>
        <v>632.82716759753202</v>
      </c>
      <c r="Y512" s="61">
        <v>125.35522234611483</v>
      </c>
      <c r="Z512" s="61">
        <v>0</v>
      </c>
      <c r="AA512" s="61">
        <f t="shared" si="661"/>
        <v>1054.7119459958867</v>
      </c>
      <c r="AB512" s="61">
        <f t="shared" si="662"/>
        <v>210.94238919917737</v>
      </c>
      <c r="AC512" s="61">
        <v>1587.6206975368632</v>
      </c>
      <c r="AD512" s="61">
        <v>789.1690501785049</v>
      </c>
      <c r="AE512" s="61">
        <v>500.42425502758709</v>
      </c>
      <c r="AF512" s="61">
        <v>0</v>
      </c>
      <c r="AG512" s="61">
        <f t="shared" si="663"/>
        <v>291.10049709486469</v>
      </c>
      <c r="AH512" s="64"/>
      <c r="AI512" s="64"/>
      <c r="AJ512" s="67">
        <v>83</v>
      </c>
      <c r="AK512" s="73" t="s">
        <v>66</v>
      </c>
      <c r="AL512" s="67">
        <v>13221</v>
      </c>
      <c r="AM512" s="72" t="s">
        <v>698</v>
      </c>
      <c r="AN512" s="72" t="s">
        <v>696</v>
      </c>
      <c r="AO512" s="138">
        <f t="shared" si="664"/>
        <v>75939.260111703843</v>
      </c>
      <c r="AP512" s="65">
        <f t="shared" si="665"/>
        <v>25313.086703901281</v>
      </c>
      <c r="AQ512" s="65">
        <f t="shared" si="666"/>
        <v>7593.9260111703843</v>
      </c>
      <c r="AR512" s="65">
        <f t="shared" si="667"/>
        <v>1504.2626681533779</v>
      </c>
      <c r="AS512" s="65">
        <f t="shared" si="668"/>
        <v>0</v>
      </c>
      <c r="AT512" s="65">
        <f t="shared" si="669"/>
        <v>12656.54335195064</v>
      </c>
      <c r="AU512" s="65">
        <f t="shared" si="670"/>
        <v>2531.3086703901286</v>
      </c>
      <c r="AV512" s="65">
        <f t="shared" si="671"/>
        <v>19051.448370442358</v>
      </c>
      <c r="AW512" s="65">
        <f t="shared" si="672"/>
        <v>9470.0286021420579</v>
      </c>
      <c r="AX512" s="65">
        <f t="shared" si="673"/>
        <v>6005.0910603310449</v>
      </c>
      <c r="AY512" s="65">
        <f t="shared" si="674"/>
        <v>0</v>
      </c>
      <c r="AZ512" s="65">
        <f t="shared" si="675"/>
        <v>3493.2059651383761</v>
      </c>
      <c r="BB512" s="64"/>
      <c r="BC512" s="66"/>
      <c r="BD512" s="66"/>
      <c r="BE512" s="66"/>
    </row>
    <row r="513" spans="2:57" ht="21" customHeight="1" x14ac:dyDescent="0.2">
      <c r="B513" s="67">
        <v>84</v>
      </c>
      <c r="C513" s="73" t="s">
        <v>66</v>
      </c>
      <c r="D513" s="67">
        <v>13380</v>
      </c>
      <c r="E513" s="73" t="s">
        <v>699</v>
      </c>
      <c r="F513" s="72" t="s">
        <v>700</v>
      </c>
      <c r="G513" s="123">
        <v>44743</v>
      </c>
      <c r="H513" s="56" t="str">
        <f t="shared" si="650"/>
        <v>2 AÑOS</v>
      </c>
      <c r="I513" s="57">
        <v>3050.5989432214737</v>
      </c>
      <c r="J513" s="58"/>
      <c r="K513" s="58"/>
      <c r="L513" s="59"/>
      <c r="M513" s="60">
        <v>1.74E-3</v>
      </c>
      <c r="N513" s="61">
        <f>I513*0.122</f>
        <v>372.1730710730198</v>
      </c>
      <c r="O513" s="58">
        <f t="shared" si="652"/>
        <v>3422.7720142944936</v>
      </c>
      <c r="P513" s="61">
        <f t="shared" si="653"/>
        <v>6845.5440285889872</v>
      </c>
      <c r="Q513" s="61">
        <f t="shared" si="654"/>
        <v>5134.1580214417409</v>
      </c>
      <c r="R513" s="61">
        <f t="shared" si="655"/>
        <v>1711.3860071472468</v>
      </c>
      <c r="S513" s="61">
        <f t="shared" si="656"/>
        <v>228.18480095296624</v>
      </c>
      <c r="T513" s="58">
        <f t="shared" si="657"/>
        <v>261.93333301390993</v>
      </c>
      <c r="U513" s="61">
        <f t="shared" si="658"/>
        <v>2567.0790107208704</v>
      </c>
      <c r="V513" s="58">
        <f t="shared" si="659"/>
        <v>855.6930035736234</v>
      </c>
      <c r="W513" s="101">
        <v>0</v>
      </c>
      <c r="X513" s="63">
        <f t="shared" si="660"/>
        <v>0</v>
      </c>
      <c r="Y513" s="61">
        <v>0</v>
      </c>
      <c r="Z513" s="61">
        <v>25.27</v>
      </c>
      <c r="AA513" s="61">
        <f t="shared" si="661"/>
        <v>855.69300357362351</v>
      </c>
      <c r="AB513" s="61">
        <f t="shared" si="662"/>
        <v>171.13860071472467</v>
      </c>
      <c r="AC513" s="61">
        <v>1420.53</v>
      </c>
      <c r="AD513" s="61">
        <v>626.21</v>
      </c>
      <c r="AE513" s="61">
        <v>405.84</v>
      </c>
      <c r="AF513" s="61">
        <v>0</v>
      </c>
      <c r="AG513" s="61">
        <f t="shared" si="663"/>
        <v>236.17126898632006</v>
      </c>
      <c r="AH513" s="64"/>
      <c r="AI513" s="64"/>
      <c r="AJ513" s="67">
        <v>84</v>
      </c>
      <c r="AK513" s="73" t="s">
        <v>66</v>
      </c>
      <c r="AL513" s="67">
        <v>13380</v>
      </c>
      <c r="AM513" s="73" t="s">
        <v>699</v>
      </c>
      <c r="AN513" s="72" t="s">
        <v>700</v>
      </c>
      <c r="AO513" s="138">
        <f>Q513*10</f>
        <v>51341.580214417409</v>
      </c>
      <c r="AP513" s="65">
        <f>R513*10</f>
        <v>17113.860071472467</v>
      </c>
      <c r="AQ513" s="65">
        <f t="shared" ref="AQ513:AZ513" si="676">X513*10</f>
        <v>0</v>
      </c>
      <c r="AR513" s="65">
        <f t="shared" si="676"/>
        <v>0</v>
      </c>
      <c r="AS513" s="65">
        <f t="shared" si="676"/>
        <v>252.7</v>
      </c>
      <c r="AT513" s="65">
        <f t="shared" si="676"/>
        <v>8556.9300357362354</v>
      </c>
      <c r="AU513" s="65">
        <f t="shared" si="676"/>
        <v>1711.3860071472468</v>
      </c>
      <c r="AV513" s="65">
        <f t="shared" si="676"/>
        <v>14205.3</v>
      </c>
      <c r="AW513" s="65">
        <f t="shared" si="676"/>
        <v>6262.1</v>
      </c>
      <c r="AX513" s="65">
        <f t="shared" si="676"/>
        <v>4058.3999999999996</v>
      </c>
      <c r="AY513" s="65">
        <f t="shared" si="676"/>
        <v>0</v>
      </c>
      <c r="AZ513" s="65">
        <f t="shared" si="676"/>
        <v>2361.7126898632005</v>
      </c>
      <c r="BB513" s="64"/>
      <c r="BC513" s="66"/>
      <c r="BD513" s="66"/>
      <c r="BE513" s="66"/>
    </row>
    <row r="514" spans="2:57" ht="21" customHeight="1" x14ac:dyDescent="0.2">
      <c r="B514" s="67">
        <v>85</v>
      </c>
      <c r="C514" s="73" t="s">
        <v>66</v>
      </c>
      <c r="D514" s="67">
        <v>13292</v>
      </c>
      <c r="E514" s="72" t="s">
        <v>701</v>
      </c>
      <c r="F514" s="72" t="s">
        <v>702</v>
      </c>
      <c r="G514" s="123">
        <v>42125</v>
      </c>
      <c r="H514" s="56" t="str">
        <f t="shared" si="650"/>
        <v>9 AÑOS</v>
      </c>
      <c r="I514" s="57">
        <v>3316.4513026389554</v>
      </c>
      <c r="J514" s="58"/>
      <c r="K514" s="58"/>
      <c r="L514" s="59"/>
      <c r="M514" s="60">
        <v>4.0000000000000002E-4</v>
      </c>
      <c r="N514" s="61">
        <f t="shared" si="651"/>
        <v>132.65805210555823</v>
      </c>
      <c r="O514" s="58">
        <f t="shared" si="652"/>
        <v>3449.1093547445134</v>
      </c>
      <c r="P514" s="61">
        <f t="shared" si="653"/>
        <v>6898.2187094890269</v>
      </c>
      <c r="Q514" s="61">
        <f t="shared" si="654"/>
        <v>5173.6640321167706</v>
      </c>
      <c r="R514" s="61">
        <f t="shared" si="655"/>
        <v>1724.5546773722567</v>
      </c>
      <c r="S514" s="61">
        <f t="shared" si="656"/>
        <v>229.94062364963423</v>
      </c>
      <c r="T514" s="58">
        <f t="shared" si="657"/>
        <v>263.94884188741514</v>
      </c>
      <c r="U514" s="61">
        <f t="shared" si="658"/>
        <v>2586.8320160583853</v>
      </c>
      <c r="V514" s="58">
        <f t="shared" si="659"/>
        <v>862.27733868612836</v>
      </c>
      <c r="W514" s="101">
        <v>2.5000000000000001E-2</v>
      </c>
      <c r="X514" s="63">
        <f t="shared" si="660"/>
        <v>172.45546773722569</v>
      </c>
      <c r="Y514" s="61">
        <v>0</v>
      </c>
      <c r="Z514" s="61">
        <v>22.603581944526638</v>
      </c>
      <c r="AA514" s="61">
        <f t="shared" si="661"/>
        <v>862.27733868612847</v>
      </c>
      <c r="AB514" s="61">
        <f t="shared" si="662"/>
        <v>172.45546773722569</v>
      </c>
      <c r="AC514" s="61">
        <v>1426.3306023892121</v>
      </c>
      <c r="AD514" s="61">
        <v>631.27324770003645</v>
      </c>
      <c r="AE514" s="61">
        <v>409.1207049254935</v>
      </c>
      <c r="AF514" s="61">
        <v>0</v>
      </c>
      <c r="AG514" s="61">
        <f t="shared" si="663"/>
        <v>237.98854547737139</v>
      </c>
      <c r="AH514" s="64"/>
      <c r="AI514" s="64"/>
      <c r="AJ514" s="67">
        <v>85</v>
      </c>
      <c r="AK514" s="73" t="s">
        <v>66</v>
      </c>
      <c r="AL514" s="67">
        <v>13292</v>
      </c>
      <c r="AM514" s="72" t="s">
        <v>701</v>
      </c>
      <c r="AN514" s="72" t="s">
        <v>702</v>
      </c>
      <c r="AO514" s="138">
        <f t="shared" ref="AO514:AO528" si="677">Q514*12</f>
        <v>62083.968385401247</v>
      </c>
      <c r="AP514" s="65">
        <f t="shared" ref="AP514:AP528" si="678">R514*12</f>
        <v>20694.656128467082</v>
      </c>
      <c r="AQ514" s="65">
        <f t="shared" ref="AQ514:AQ528" si="679">X514*12</f>
        <v>2069.4656128467082</v>
      </c>
      <c r="AR514" s="65">
        <f t="shared" ref="AR514:AR528" si="680">Y514*12</f>
        <v>0</v>
      </c>
      <c r="AS514" s="65">
        <f t="shared" ref="AS514:AS528" si="681">Z514*12</f>
        <v>271.24298333431966</v>
      </c>
      <c r="AT514" s="65">
        <f t="shared" ref="AT514:AT528" si="682">AA514*12</f>
        <v>10347.328064233541</v>
      </c>
      <c r="AU514" s="65">
        <f t="shared" ref="AU514:AU528" si="683">AB514*12</f>
        <v>2069.4656128467082</v>
      </c>
      <c r="AV514" s="65">
        <f t="shared" ref="AV514:AV528" si="684">AC514*12</f>
        <v>17115.967228670546</v>
      </c>
      <c r="AW514" s="65">
        <f t="shared" ref="AW514:AW528" si="685">AD514*12</f>
        <v>7575.2789724004379</v>
      </c>
      <c r="AX514" s="65">
        <f t="shared" ref="AX514:AX528" si="686">AE514*12</f>
        <v>4909.4484591059218</v>
      </c>
      <c r="AY514" s="65">
        <f t="shared" ref="AY514:AY528" si="687">AF514*12</f>
        <v>0</v>
      </c>
      <c r="AZ514" s="65">
        <f t="shared" ref="AZ514:AZ528" si="688">AG514*12</f>
        <v>2855.8625457284566</v>
      </c>
      <c r="BB514" s="64"/>
      <c r="BC514" s="66"/>
      <c r="BD514" s="66"/>
      <c r="BE514" s="66"/>
    </row>
    <row r="515" spans="2:57" ht="21" customHeight="1" x14ac:dyDescent="0.2">
      <c r="B515" s="67">
        <v>86</v>
      </c>
      <c r="C515" s="73" t="s">
        <v>66</v>
      </c>
      <c r="D515" s="67">
        <v>13332</v>
      </c>
      <c r="E515" s="73" t="s">
        <v>703</v>
      </c>
      <c r="F515" s="72" t="s">
        <v>704</v>
      </c>
      <c r="G515" s="123">
        <v>42948</v>
      </c>
      <c r="H515" s="56" t="str">
        <f t="shared" si="650"/>
        <v>7 AÑOS</v>
      </c>
      <c r="I515" s="57">
        <v>3690.7146466389554</v>
      </c>
      <c r="J515" s="58"/>
      <c r="K515" s="58"/>
      <c r="L515" s="59"/>
      <c r="M515" s="60">
        <v>4.0000000000000002E-4</v>
      </c>
      <c r="N515" s="61">
        <f t="shared" si="651"/>
        <v>147.62858586555822</v>
      </c>
      <c r="O515" s="58">
        <f t="shared" si="652"/>
        <v>3838.3432325045137</v>
      </c>
      <c r="P515" s="61">
        <f t="shared" si="653"/>
        <v>7676.6864650090274</v>
      </c>
      <c r="Q515" s="61">
        <f t="shared" si="654"/>
        <v>5757.5148487567703</v>
      </c>
      <c r="R515" s="61">
        <f t="shared" si="655"/>
        <v>1919.1716162522569</v>
      </c>
      <c r="S515" s="61">
        <f t="shared" si="656"/>
        <v>255.88954883363425</v>
      </c>
      <c r="T515" s="58">
        <f t="shared" si="657"/>
        <v>293.73561310612871</v>
      </c>
      <c r="U515" s="61">
        <f t="shared" si="658"/>
        <v>2878.7574243783852</v>
      </c>
      <c r="V515" s="58">
        <f t="shared" si="659"/>
        <v>959.58580812612843</v>
      </c>
      <c r="W515" s="101">
        <v>2.5000000000000001E-2</v>
      </c>
      <c r="X515" s="63">
        <f t="shared" si="660"/>
        <v>191.9171616252257</v>
      </c>
      <c r="Y515" s="61">
        <v>44.762870320433308</v>
      </c>
      <c r="Z515" s="61">
        <v>0</v>
      </c>
      <c r="AA515" s="61">
        <f t="shared" si="661"/>
        <v>959.58580812612843</v>
      </c>
      <c r="AB515" s="61">
        <f t="shared" si="662"/>
        <v>191.9171616252257</v>
      </c>
      <c r="AC515" s="61">
        <v>1507.8902164007714</v>
      </c>
      <c r="AD515" s="61">
        <v>702.51277908527288</v>
      </c>
      <c r="AE515" s="61">
        <v>455.29020031449954</v>
      </c>
      <c r="AF515" s="61">
        <v>0</v>
      </c>
      <c r="AG515" s="61">
        <f t="shared" si="663"/>
        <v>264.8456830428114</v>
      </c>
      <c r="AH515" s="64"/>
      <c r="AI515" s="64"/>
      <c r="AJ515" s="67">
        <v>86</v>
      </c>
      <c r="AK515" s="73" t="s">
        <v>66</v>
      </c>
      <c r="AL515" s="67">
        <v>13332</v>
      </c>
      <c r="AM515" s="73" t="s">
        <v>703</v>
      </c>
      <c r="AN515" s="72" t="s">
        <v>704</v>
      </c>
      <c r="AO515" s="138">
        <f t="shared" si="677"/>
        <v>69090.17818508124</v>
      </c>
      <c r="AP515" s="65">
        <f t="shared" si="678"/>
        <v>23030.059395027081</v>
      </c>
      <c r="AQ515" s="65">
        <f t="shared" si="679"/>
        <v>2303.0059395027083</v>
      </c>
      <c r="AR515" s="65">
        <f t="shared" si="680"/>
        <v>537.15444384519969</v>
      </c>
      <c r="AS515" s="65">
        <f t="shared" si="681"/>
        <v>0</v>
      </c>
      <c r="AT515" s="65">
        <f t="shared" si="682"/>
        <v>11515.029697513541</v>
      </c>
      <c r="AU515" s="65">
        <f t="shared" si="683"/>
        <v>2303.0059395027083</v>
      </c>
      <c r="AV515" s="65">
        <f t="shared" si="684"/>
        <v>18094.682596809256</v>
      </c>
      <c r="AW515" s="65">
        <f t="shared" si="685"/>
        <v>8430.1533490232741</v>
      </c>
      <c r="AX515" s="65">
        <f t="shared" si="686"/>
        <v>5463.4824037739945</v>
      </c>
      <c r="AY515" s="65">
        <f t="shared" si="687"/>
        <v>0</v>
      </c>
      <c r="AZ515" s="65">
        <f t="shared" si="688"/>
        <v>3178.1481965137368</v>
      </c>
      <c r="BB515" s="64"/>
      <c r="BC515" s="66"/>
      <c r="BD515" s="66"/>
      <c r="BE515" s="66"/>
    </row>
    <row r="516" spans="2:57" ht="21" customHeight="1" x14ac:dyDescent="0.2">
      <c r="B516" s="67">
        <v>87</v>
      </c>
      <c r="C516" s="73" t="s">
        <v>66</v>
      </c>
      <c r="D516" s="67">
        <v>13252</v>
      </c>
      <c r="E516" s="72" t="s">
        <v>705</v>
      </c>
      <c r="F516" s="72" t="s">
        <v>706</v>
      </c>
      <c r="G516" s="123">
        <v>40553</v>
      </c>
      <c r="H516" s="56" t="str">
        <f t="shared" si="650"/>
        <v>13 AÑOS</v>
      </c>
      <c r="I516" s="57">
        <v>3683.2872994389554</v>
      </c>
      <c r="J516" s="58"/>
      <c r="K516" s="58"/>
      <c r="L516" s="59"/>
      <c r="M516" s="60">
        <v>4.0000000000000002E-4</v>
      </c>
      <c r="N516" s="61">
        <f t="shared" si="651"/>
        <v>147.33149197755822</v>
      </c>
      <c r="O516" s="58">
        <f t="shared" si="652"/>
        <v>3830.6187914165134</v>
      </c>
      <c r="P516" s="61">
        <f t="shared" si="653"/>
        <v>7661.2375828330269</v>
      </c>
      <c r="Q516" s="61">
        <f t="shared" si="654"/>
        <v>5745.9281871247704</v>
      </c>
      <c r="R516" s="61">
        <f t="shared" si="655"/>
        <v>1915.3093957082567</v>
      </c>
      <c r="S516" s="61">
        <f t="shared" si="656"/>
        <v>255.37458609443422</v>
      </c>
      <c r="T516" s="58">
        <f t="shared" si="657"/>
        <v>293.144487377801</v>
      </c>
      <c r="U516" s="61">
        <f t="shared" si="658"/>
        <v>2872.9640935623852</v>
      </c>
      <c r="V516" s="58">
        <f t="shared" si="659"/>
        <v>957.65469785412836</v>
      </c>
      <c r="W516" s="101">
        <v>0.05</v>
      </c>
      <c r="X516" s="63">
        <f t="shared" si="660"/>
        <v>383.06187914165139</v>
      </c>
      <c r="Y516" s="61">
        <v>44.021323975985354</v>
      </c>
      <c r="Z516" s="61">
        <v>0</v>
      </c>
      <c r="AA516" s="61">
        <f t="shared" si="661"/>
        <v>957.65469785412836</v>
      </c>
      <c r="AB516" s="61">
        <f t="shared" si="662"/>
        <v>191.53093957082567</v>
      </c>
      <c r="AC516" s="61">
        <v>1506.2716459998139</v>
      </c>
      <c r="AD516" s="61">
        <v>701.09901323711767</v>
      </c>
      <c r="AE516" s="61">
        <v>454.37395543559154</v>
      </c>
      <c r="AF516" s="61">
        <v>0</v>
      </c>
      <c r="AG516" s="61">
        <f t="shared" si="663"/>
        <v>264.31269660773944</v>
      </c>
      <c r="AH516" s="64"/>
      <c r="AI516" s="64"/>
      <c r="AJ516" s="67">
        <v>87</v>
      </c>
      <c r="AK516" s="73" t="s">
        <v>66</v>
      </c>
      <c r="AL516" s="67">
        <v>13252</v>
      </c>
      <c r="AM516" s="72" t="s">
        <v>705</v>
      </c>
      <c r="AN516" s="72" t="s">
        <v>706</v>
      </c>
      <c r="AO516" s="138">
        <f t="shared" si="677"/>
        <v>68951.138245497248</v>
      </c>
      <c r="AP516" s="65">
        <f t="shared" si="678"/>
        <v>22983.712748499081</v>
      </c>
      <c r="AQ516" s="65">
        <f t="shared" si="679"/>
        <v>4596.7425496998167</v>
      </c>
      <c r="AR516" s="65">
        <f t="shared" si="680"/>
        <v>528.25588771182424</v>
      </c>
      <c r="AS516" s="65">
        <f t="shared" si="681"/>
        <v>0</v>
      </c>
      <c r="AT516" s="65">
        <f t="shared" si="682"/>
        <v>11491.856374249541</v>
      </c>
      <c r="AU516" s="65">
        <f t="shared" si="683"/>
        <v>2298.3712748499079</v>
      </c>
      <c r="AV516" s="65">
        <f t="shared" si="684"/>
        <v>18075.259751997768</v>
      </c>
      <c r="AW516" s="65">
        <f t="shared" si="685"/>
        <v>8413.1881588454125</v>
      </c>
      <c r="AX516" s="65">
        <f t="shared" si="686"/>
        <v>5452.4874652270983</v>
      </c>
      <c r="AY516" s="65">
        <f t="shared" si="687"/>
        <v>0</v>
      </c>
      <c r="AZ516" s="65">
        <f t="shared" si="688"/>
        <v>3171.7523592928733</v>
      </c>
      <c r="BB516" s="64"/>
      <c r="BC516" s="66"/>
      <c r="BD516" s="66"/>
      <c r="BE516" s="66"/>
    </row>
    <row r="517" spans="2:57" ht="21" customHeight="1" x14ac:dyDescent="0.2">
      <c r="B517" s="67">
        <v>88</v>
      </c>
      <c r="C517" s="73" t="s">
        <v>66</v>
      </c>
      <c r="D517" s="67">
        <v>13249</v>
      </c>
      <c r="E517" s="72" t="s">
        <v>707</v>
      </c>
      <c r="F517" s="72" t="s">
        <v>708</v>
      </c>
      <c r="G517" s="123">
        <v>40428</v>
      </c>
      <c r="H517" s="56" t="str">
        <f t="shared" si="650"/>
        <v>14 AÑOS</v>
      </c>
      <c r="I517" s="57">
        <v>3675.7918114389549</v>
      </c>
      <c r="J517" s="58"/>
      <c r="K517" s="58"/>
      <c r="L517" s="59"/>
      <c r="M517" s="60">
        <v>4.0000000000000002E-4</v>
      </c>
      <c r="N517" s="61">
        <f t="shared" si="651"/>
        <v>147.03167245755819</v>
      </c>
      <c r="O517" s="58">
        <f t="shared" si="652"/>
        <v>3822.8234838965132</v>
      </c>
      <c r="P517" s="61">
        <f t="shared" si="653"/>
        <v>7645.6469677930263</v>
      </c>
      <c r="Q517" s="61">
        <f t="shared" si="654"/>
        <v>5734.23522584477</v>
      </c>
      <c r="R517" s="61">
        <f t="shared" si="655"/>
        <v>1911.4117419482566</v>
      </c>
      <c r="S517" s="61">
        <f t="shared" si="656"/>
        <v>254.8548989264342</v>
      </c>
      <c r="T517" s="58">
        <f t="shared" si="657"/>
        <v>292.54793847765382</v>
      </c>
      <c r="U517" s="61">
        <f t="shared" si="658"/>
        <v>2867.117612922385</v>
      </c>
      <c r="V517" s="58">
        <f t="shared" si="659"/>
        <v>955.70587097412829</v>
      </c>
      <c r="W517" s="101">
        <v>0.05</v>
      </c>
      <c r="X517" s="63">
        <f t="shared" si="660"/>
        <v>382.28234838965136</v>
      </c>
      <c r="Y517" s="61">
        <v>43.27297445406532</v>
      </c>
      <c r="Z517" s="61">
        <v>0</v>
      </c>
      <c r="AA517" s="61">
        <f t="shared" si="661"/>
        <v>955.70587097412829</v>
      </c>
      <c r="AB517" s="61">
        <f t="shared" si="662"/>
        <v>191.14117419482565</v>
      </c>
      <c r="AC517" s="61">
        <v>1504.6382263291225</v>
      </c>
      <c r="AD517" s="61">
        <v>699.67227706008077</v>
      </c>
      <c r="AE517" s="61">
        <v>453.44930464036344</v>
      </c>
      <c r="AF517" s="61">
        <v>0</v>
      </c>
      <c r="AG517" s="61">
        <f t="shared" si="663"/>
        <v>263.77482038885938</v>
      </c>
      <c r="AH517" s="64"/>
      <c r="AI517" s="64"/>
      <c r="AJ517" s="67">
        <v>88</v>
      </c>
      <c r="AK517" s="73" t="s">
        <v>66</v>
      </c>
      <c r="AL517" s="67">
        <v>13249</v>
      </c>
      <c r="AM517" s="72" t="s">
        <v>707</v>
      </c>
      <c r="AN517" s="72" t="s">
        <v>708</v>
      </c>
      <c r="AO517" s="138">
        <f t="shared" si="677"/>
        <v>68810.822710137232</v>
      </c>
      <c r="AP517" s="65">
        <f t="shared" si="678"/>
        <v>22936.94090337908</v>
      </c>
      <c r="AQ517" s="65">
        <f t="shared" si="679"/>
        <v>4587.3881806758163</v>
      </c>
      <c r="AR517" s="65">
        <f t="shared" si="680"/>
        <v>519.27569344878384</v>
      </c>
      <c r="AS517" s="65">
        <f t="shared" si="681"/>
        <v>0</v>
      </c>
      <c r="AT517" s="65">
        <f t="shared" si="682"/>
        <v>11468.47045168954</v>
      </c>
      <c r="AU517" s="65">
        <f t="shared" si="683"/>
        <v>2293.6940903379077</v>
      </c>
      <c r="AV517" s="65">
        <f t="shared" si="684"/>
        <v>18055.65871594947</v>
      </c>
      <c r="AW517" s="65">
        <f t="shared" si="685"/>
        <v>8396.0673247209688</v>
      </c>
      <c r="AX517" s="65">
        <f t="shared" si="686"/>
        <v>5441.3916556843615</v>
      </c>
      <c r="AY517" s="65">
        <f t="shared" si="687"/>
        <v>0</v>
      </c>
      <c r="AZ517" s="65">
        <f t="shared" si="688"/>
        <v>3165.2978446663128</v>
      </c>
      <c r="BB517" s="64"/>
      <c r="BC517" s="66"/>
      <c r="BD517" s="66"/>
      <c r="BE517" s="66"/>
    </row>
    <row r="518" spans="2:57" ht="21" customHeight="1" x14ac:dyDescent="0.2">
      <c r="B518" s="67">
        <v>89</v>
      </c>
      <c r="C518" s="73" t="s">
        <v>66</v>
      </c>
      <c r="D518" s="67">
        <v>13410</v>
      </c>
      <c r="E518" s="73" t="s">
        <v>709</v>
      </c>
      <c r="F518" s="72" t="s">
        <v>710</v>
      </c>
      <c r="G518" s="123">
        <v>45474</v>
      </c>
      <c r="H518" s="56" t="str">
        <f t="shared" si="650"/>
        <v>0 AÑOS</v>
      </c>
      <c r="I518" s="57">
        <v>3316.4513026389554</v>
      </c>
      <c r="J518" s="58"/>
      <c r="K518" s="58"/>
      <c r="L518" s="59"/>
      <c r="M518" s="60">
        <v>4.0000000000000002E-4</v>
      </c>
      <c r="N518" s="61">
        <f t="shared" si="651"/>
        <v>132.65805210555823</v>
      </c>
      <c r="O518" s="58">
        <f t="shared" si="652"/>
        <v>3449.1093547445134</v>
      </c>
      <c r="P518" s="61">
        <f t="shared" si="653"/>
        <v>6898.2187094890269</v>
      </c>
      <c r="Q518" s="61">
        <f t="shared" si="654"/>
        <v>5173.6640321167706</v>
      </c>
      <c r="R518" s="61">
        <f t="shared" si="655"/>
        <v>1724.5546773722567</v>
      </c>
      <c r="S518" s="61">
        <f t="shared" si="656"/>
        <v>229.94062364963423</v>
      </c>
      <c r="T518" s="58">
        <f t="shared" si="657"/>
        <v>263.94884188741514</v>
      </c>
      <c r="U518" s="61">
        <f t="shared" si="658"/>
        <v>2586.8320160583853</v>
      </c>
      <c r="V518" s="58">
        <f t="shared" si="659"/>
        <v>862.27733868612836</v>
      </c>
      <c r="W518" s="101">
        <v>7.4999999999999997E-2</v>
      </c>
      <c r="X518" s="63">
        <f t="shared" si="660"/>
        <v>517.36640321167704</v>
      </c>
      <c r="Y518" s="61">
        <v>0</v>
      </c>
      <c r="Z518" s="61">
        <v>22.603581944526638</v>
      </c>
      <c r="AA518" s="61">
        <f t="shared" si="661"/>
        <v>862.27733868612847</v>
      </c>
      <c r="AB518" s="61">
        <f t="shared" si="662"/>
        <v>172.45546773722569</v>
      </c>
      <c r="AC518" s="61">
        <v>1426.3306023892121</v>
      </c>
      <c r="AD518" s="61">
        <v>631.27324770003645</v>
      </c>
      <c r="AE518" s="61">
        <v>409.1207049254935</v>
      </c>
      <c r="AF518" s="61">
        <v>0</v>
      </c>
      <c r="AG518" s="61">
        <f t="shared" si="663"/>
        <v>237.98854547737139</v>
      </c>
      <c r="AH518" s="64"/>
      <c r="AI518" s="64"/>
      <c r="AJ518" s="67">
        <v>89</v>
      </c>
      <c r="AK518" s="73" t="s">
        <v>66</v>
      </c>
      <c r="AL518" s="67">
        <v>13410</v>
      </c>
      <c r="AM518" s="73" t="s">
        <v>709</v>
      </c>
      <c r="AN518" s="72" t="s">
        <v>710</v>
      </c>
      <c r="AO518" s="138">
        <f t="shared" si="677"/>
        <v>62083.968385401247</v>
      </c>
      <c r="AP518" s="65">
        <f t="shared" si="678"/>
        <v>20694.656128467082</v>
      </c>
      <c r="AQ518" s="65">
        <f t="shared" si="679"/>
        <v>6208.396838540124</v>
      </c>
      <c r="AR518" s="65">
        <f t="shared" si="680"/>
        <v>0</v>
      </c>
      <c r="AS518" s="65">
        <f t="shared" si="681"/>
        <v>271.24298333431966</v>
      </c>
      <c r="AT518" s="65">
        <f t="shared" si="682"/>
        <v>10347.328064233541</v>
      </c>
      <c r="AU518" s="65">
        <f t="shared" si="683"/>
        <v>2069.4656128467082</v>
      </c>
      <c r="AV518" s="65">
        <f t="shared" si="684"/>
        <v>17115.967228670546</v>
      </c>
      <c r="AW518" s="65">
        <f t="shared" si="685"/>
        <v>7575.2789724004379</v>
      </c>
      <c r="AX518" s="65">
        <f t="shared" si="686"/>
        <v>4909.4484591059218</v>
      </c>
      <c r="AY518" s="65">
        <f t="shared" si="687"/>
        <v>0</v>
      </c>
      <c r="AZ518" s="65">
        <f t="shared" si="688"/>
        <v>2855.8625457284566</v>
      </c>
      <c r="BB518" s="64"/>
      <c r="BC518" s="66"/>
      <c r="BD518" s="66"/>
      <c r="BE518" s="66"/>
    </row>
    <row r="519" spans="2:57" ht="21" customHeight="1" x14ac:dyDescent="0.2">
      <c r="B519" s="67">
        <v>90</v>
      </c>
      <c r="C519" s="73" t="s">
        <v>66</v>
      </c>
      <c r="D519" s="67">
        <v>13128</v>
      </c>
      <c r="E519" s="72" t="s">
        <v>711</v>
      </c>
      <c r="F519" s="72" t="s">
        <v>710</v>
      </c>
      <c r="G519" s="123">
        <v>34597</v>
      </c>
      <c r="H519" s="56" t="str">
        <f t="shared" si="650"/>
        <v>30 AÑOS</v>
      </c>
      <c r="I519" s="57">
        <v>3316.4513026389554</v>
      </c>
      <c r="J519" s="58"/>
      <c r="K519" s="58"/>
      <c r="L519" s="59"/>
      <c r="M519" s="60">
        <v>4.0000000000000002E-4</v>
      </c>
      <c r="N519" s="61">
        <f t="shared" si="651"/>
        <v>132.65805210555823</v>
      </c>
      <c r="O519" s="58">
        <f t="shared" si="652"/>
        <v>3449.1093547445134</v>
      </c>
      <c r="P519" s="61">
        <f t="shared" si="653"/>
        <v>6898.2187094890269</v>
      </c>
      <c r="Q519" s="61">
        <f t="shared" si="654"/>
        <v>5173.6640321167706</v>
      </c>
      <c r="R519" s="61">
        <f t="shared" si="655"/>
        <v>1724.5546773722567</v>
      </c>
      <c r="S519" s="61">
        <f t="shared" si="656"/>
        <v>229.94062364963423</v>
      </c>
      <c r="T519" s="58">
        <f t="shared" si="657"/>
        <v>263.94884188741514</v>
      </c>
      <c r="U519" s="61">
        <f t="shared" si="658"/>
        <v>2586.8320160583853</v>
      </c>
      <c r="V519" s="58">
        <f t="shared" si="659"/>
        <v>862.27733868612836</v>
      </c>
      <c r="W519" s="101">
        <v>7.4999999999999997E-2</v>
      </c>
      <c r="X519" s="63">
        <f t="shared" si="660"/>
        <v>517.36640321167704</v>
      </c>
      <c r="Y519" s="61">
        <v>0</v>
      </c>
      <c r="Z519" s="61">
        <v>22.603581944526638</v>
      </c>
      <c r="AA519" s="61">
        <f t="shared" si="661"/>
        <v>862.27733868612847</v>
      </c>
      <c r="AB519" s="61">
        <f t="shared" si="662"/>
        <v>172.45546773722569</v>
      </c>
      <c r="AC519" s="61">
        <v>1426.3306023892121</v>
      </c>
      <c r="AD519" s="61">
        <v>631.27324770003645</v>
      </c>
      <c r="AE519" s="61">
        <v>409.1207049254935</v>
      </c>
      <c r="AF519" s="61">
        <v>0</v>
      </c>
      <c r="AG519" s="61">
        <f t="shared" si="663"/>
        <v>237.98854547737139</v>
      </c>
      <c r="AH519" s="64"/>
      <c r="AI519" s="64"/>
      <c r="AJ519" s="67">
        <v>90</v>
      </c>
      <c r="AK519" s="73" t="s">
        <v>66</v>
      </c>
      <c r="AL519" s="67">
        <v>13128</v>
      </c>
      <c r="AM519" s="72" t="s">
        <v>711</v>
      </c>
      <c r="AN519" s="72" t="s">
        <v>710</v>
      </c>
      <c r="AO519" s="138">
        <f t="shared" si="677"/>
        <v>62083.968385401247</v>
      </c>
      <c r="AP519" s="65">
        <f t="shared" si="678"/>
        <v>20694.656128467082</v>
      </c>
      <c r="AQ519" s="65">
        <f t="shared" si="679"/>
        <v>6208.396838540124</v>
      </c>
      <c r="AR519" s="65">
        <f t="shared" si="680"/>
        <v>0</v>
      </c>
      <c r="AS519" s="65">
        <f t="shared" si="681"/>
        <v>271.24298333431966</v>
      </c>
      <c r="AT519" s="65">
        <f t="shared" si="682"/>
        <v>10347.328064233541</v>
      </c>
      <c r="AU519" s="65">
        <f t="shared" si="683"/>
        <v>2069.4656128467082</v>
      </c>
      <c r="AV519" s="65">
        <f t="shared" si="684"/>
        <v>17115.967228670546</v>
      </c>
      <c r="AW519" s="65">
        <f t="shared" si="685"/>
        <v>7575.2789724004379</v>
      </c>
      <c r="AX519" s="65">
        <f t="shared" si="686"/>
        <v>4909.4484591059218</v>
      </c>
      <c r="AY519" s="65">
        <f t="shared" si="687"/>
        <v>0</v>
      </c>
      <c r="AZ519" s="65">
        <f t="shared" si="688"/>
        <v>2855.8625457284566</v>
      </c>
      <c r="BB519" s="64"/>
      <c r="BC519" s="66"/>
      <c r="BD519" s="66"/>
      <c r="BE519" s="66"/>
    </row>
    <row r="520" spans="2:57" ht="21" customHeight="1" x14ac:dyDescent="0.2">
      <c r="B520" s="67">
        <v>91</v>
      </c>
      <c r="C520" s="73" t="s">
        <v>66</v>
      </c>
      <c r="D520" s="67">
        <v>13212</v>
      </c>
      <c r="E520" s="72" t="s">
        <v>712</v>
      </c>
      <c r="F520" s="72" t="s">
        <v>710</v>
      </c>
      <c r="G520" s="123">
        <v>39069</v>
      </c>
      <c r="H520" s="56" t="str">
        <f t="shared" si="650"/>
        <v>18 AÑOS</v>
      </c>
      <c r="I520" s="57">
        <v>3316.4513026389554</v>
      </c>
      <c r="J520" s="58"/>
      <c r="K520" s="58"/>
      <c r="L520" s="59"/>
      <c r="M520" s="60">
        <v>4.0000000000000002E-4</v>
      </c>
      <c r="N520" s="61">
        <f t="shared" si="651"/>
        <v>132.65805210555823</v>
      </c>
      <c r="O520" s="58">
        <f t="shared" si="652"/>
        <v>3449.1093547445134</v>
      </c>
      <c r="P520" s="61">
        <f t="shared" si="653"/>
        <v>6898.2187094890269</v>
      </c>
      <c r="Q520" s="61">
        <f t="shared" si="654"/>
        <v>5173.6640321167706</v>
      </c>
      <c r="R520" s="61">
        <f t="shared" si="655"/>
        <v>1724.5546773722567</v>
      </c>
      <c r="S520" s="61">
        <f t="shared" si="656"/>
        <v>229.94062364963423</v>
      </c>
      <c r="T520" s="58">
        <f t="shared" si="657"/>
        <v>263.94884188741514</v>
      </c>
      <c r="U520" s="61">
        <f t="shared" si="658"/>
        <v>2586.8320160583853</v>
      </c>
      <c r="V520" s="58">
        <f t="shared" si="659"/>
        <v>862.27733868612836</v>
      </c>
      <c r="W520" s="101">
        <v>7.4999999999999997E-2</v>
      </c>
      <c r="X520" s="63">
        <f t="shared" si="660"/>
        <v>517.36640321167704</v>
      </c>
      <c r="Y520" s="61">
        <v>0</v>
      </c>
      <c r="Z520" s="61">
        <v>22.603581944526638</v>
      </c>
      <c r="AA520" s="61">
        <f t="shared" si="661"/>
        <v>862.27733868612847</v>
      </c>
      <c r="AB520" s="61">
        <f t="shared" si="662"/>
        <v>172.45546773722569</v>
      </c>
      <c r="AC520" s="61">
        <v>1426.3306023892121</v>
      </c>
      <c r="AD520" s="61">
        <v>631.27324770003645</v>
      </c>
      <c r="AE520" s="61">
        <v>409.1207049254935</v>
      </c>
      <c r="AF520" s="61">
        <v>0</v>
      </c>
      <c r="AG520" s="61">
        <f t="shared" si="663"/>
        <v>237.98854547737139</v>
      </c>
      <c r="AH520" s="64"/>
      <c r="AI520" s="64"/>
      <c r="AJ520" s="67">
        <v>91</v>
      </c>
      <c r="AK520" s="73" t="s">
        <v>66</v>
      </c>
      <c r="AL520" s="67">
        <v>13212</v>
      </c>
      <c r="AM520" s="72" t="s">
        <v>712</v>
      </c>
      <c r="AN520" s="72" t="s">
        <v>710</v>
      </c>
      <c r="AO520" s="138">
        <f t="shared" si="677"/>
        <v>62083.968385401247</v>
      </c>
      <c r="AP520" s="65">
        <f t="shared" si="678"/>
        <v>20694.656128467082</v>
      </c>
      <c r="AQ520" s="65">
        <f t="shared" si="679"/>
        <v>6208.396838540124</v>
      </c>
      <c r="AR520" s="65">
        <f t="shared" si="680"/>
        <v>0</v>
      </c>
      <c r="AS520" s="65">
        <f t="shared" si="681"/>
        <v>271.24298333431966</v>
      </c>
      <c r="AT520" s="65">
        <f t="shared" si="682"/>
        <v>10347.328064233541</v>
      </c>
      <c r="AU520" s="65">
        <f t="shared" si="683"/>
        <v>2069.4656128467082</v>
      </c>
      <c r="AV520" s="65">
        <f t="shared" si="684"/>
        <v>17115.967228670546</v>
      </c>
      <c r="AW520" s="65">
        <f t="shared" si="685"/>
        <v>7575.2789724004379</v>
      </c>
      <c r="AX520" s="65">
        <f t="shared" si="686"/>
        <v>4909.4484591059218</v>
      </c>
      <c r="AY520" s="65">
        <f t="shared" si="687"/>
        <v>0</v>
      </c>
      <c r="AZ520" s="65">
        <f t="shared" si="688"/>
        <v>2855.8625457284566</v>
      </c>
      <c r="BB520" s="64"/>
      <c r="BC520" s="66"/>
      <c r="BD520" s="66"/>
      <c r="BE520" s="66"/>
    </row>
    <row r="521" spans="2:57" ht="21" customHeight="1" x14ac:dyDescent="0.2">
      <c r="B521" s="67">
        <v>92</v>
      </c>
      <c r="C521" s="73" t="s">
        <v>66</v>
      </c>
      <c r="D521" s="67">
        <v>13085</v>
      </c>
      <c r="E521" s="72" t="s">
        <v>713</v>
      </c>
      <c r="F521" s="72" t="s">
        <v>710</v>
      </c>
      <c r="G521" s="123">
        <v>34712</v>
      </c>
      <c r="H521" s="56" t="str">
        <f t="shared" si="650"/>
        <v>29 AÑOS</v>
      </c>
      <c r="I521" s="57">
        <v>3316.4513026389554</v>
      </c>
      <c r="J521" s="58"/>
      <c r="K521" s="58"/>
      <c r="L521" s="59"/>
      <c r="M521" s="60">
        <v>4.0000000000000002E-4</v>
      </c>
      <c r="N521" s="61">
        <f t="shared" si="651"/>
        <v>132.65805210555823</v>
      </c>
      <c r="O521" s="58">
        <f t="shared" si="652"/>
        <v>3449.1093547445134</v>
      </c>
      <c r="P521" s="61">
        <f t="shared" si="653"/>
        <v>6898.2187094890269</v>
      </c>
      <c r="Q521" s="61">
        <f t="shared" si="654"/>
        <v>5173.6640321167706</v>
      </c>
      <c r="R521" s="61">
        <f t="shared" si="655"/>
        <v>1724.5546773722567</v>
      </c>
      <c r="S521" s="61">
        <f t="shared" si="656"/>
        <v>229.94062364963423</v>
      </c>
      <c r="T521" s="58">
        <f t="shared" si="657"/>
        <v>263.94884188741514</v>
      </c>
      <c r="U521" s="61">
        <f t="shared" si="658"/>
        <v>2586.8320160583853</v>
      </c>
      <c r="V521" s="58">
        <f t="shared" si="659"/>
        <v>862.27733868612836</v>
      </c>
      <c r="W521" s="101">
        <v>7.4999999999999997E-2</v>
      </c>
      <c r="X521" s="63">
        <f t="shared" si="660"/>
        <v>517.36640321167704</v>
      </c>
      <c r="Y521" s="61">
        <v>0</v>
      </c>
      <c r="Z521" s="61">
        <v>22.603581944526638</v>
      </c>
      <c r="AA521" s="61">
        <f t="shared" si="661"/>
        <v>862.27733868612847</v>
      </c>
      <c r="AB521" s="61">
        <f t="shared" si="662"/>
        <v>172.45546773722569</v>
      </c>
      <c r="AC521" s="61">
        <v>1426.3306023892121</v>
      </c>
      <c r="AD521" s="61">
        <v>631.27324770003645</v>
      </c>
      <c r="AE521" s="61">
        <v>409.1207049254935</v>
      </c>
      <c r="AF521" s="61">
        <v>0</v>
      </c>
      <c r="AG521" s="61">
        <f t="shared" si="663"/>
        <v>237.98854547737139</v>
      </c>
      <c r="AH521" s="64"/>
      <c r="AI521" s="64"/>
      <c r="AJ521" s="67">
        <v>92</v>
      </c>
      <c r="AK521" s="73" t="s">
        <v>66</v>
      </c>
      <c r="AL521" s="67">
        <v>13085</v>
      </c>
      <c r="AM521" s="72" t="s">
        <v>713</v>
      </c>
      <c r="AN521" s="72" t="s">
        <v>710</v>
      </c>
      <c r="AO521" s="138">
        <f t="shared" si="677"/>
        <v>62083.968385401247</v>
      </c>
      <c r="AP521" s="65">
        <f t="shared" si="678"/>
        <v>20694.656128467082</v>
      </c>
      <c r="AQ521" s="65">
        <f t="shared" si="679"/>
        <v>6208.396838540124</v>
      </c>
      <c r="AR521" s="65">
        <f t="shared" si="680"/>
        <v>0</v>
      </c>
      <c r="AS521" s="65">
        <f t="shared" si="681"/>
        <v>271.24298333431966</v>
      </c>
      <c r="AT521" s="65">
        <f t="shared" si="682"/>
        <v>10347.328064233541</v>
      </c>
      <c r="AU521" s="65">
        <f t="shared" si="683"/>
        <v>2069.4656128467082</v>
      </c>
      <c r="AV521" s="65">
        <f t="shared" si="684"/>
        <v>17115.967228670546</v>
      </c>
      <c r="AW521" s="65">
        <f t="shared" si="685"/>
        <v>7575.2789724004379</v>
      </c>
      <c r="AX521" s="65">
        <f t="shared" si="686"/>
        <v>4909.4484591059218</v>
      </c>
      <c r="AY521" s="65">
        <f t="shared" si="687"/>
        <v>0</v>
      </c>
      <c r="AZ521" s="65">
        <f t="shared" si="688"/>
        <v>2855.8625457284566</v>
      </c>
      <c r="BB521" s="64"/>
      <c r="BC521" s="66"/>
      <c r="BD521" s="66"/>
      <c r="BE521" s="66"/>
    </row>
    <row r="522" spans="2:57" ht="21" customHeight="1" x14ac:dyDescent="0.2">
      <c r="B522" s="67">
        <v>93</v>
      </c>
      <c r="C522" s="73" t="s">
        <v>66</v>
      </c>
      <c r="D522" s="67">
        <v>13386</v>
      </c>
      <c r="E522" s="72" t="s">
        <v>714</v>
      </c>
      <c r="F522" s="72" t="s">
        <v>710</v>
      </c>
      <c r="G522" s="157">
        <v>45108</v>
      </c>
      <c r="H522" s="56"/>
      <c r="I522" s="57">
        <v>3316.4513026389554</v>
      </c>
      <c r="J522" s="58"/>
      <c r="K522" s="58"/>
      <c r="L522" s="59"/>
      <c r="M522" s="60">
        <v>4.0000000000000002E-4</v>
      </c>
      <c r="N522" s="61">
        <f t="shared" si="651"/>
        <v>132.65805210555823</v>
      </c>
      <c r="O522" s="58">
        <f t="shared" si="652"/>
        <v>3449.1093547445134</v>
      </c>
      <c r="P522" s="61">
        <f t="shared" si="653"/>
        <v>6898.2187094890269</v>
      </c>
      <c r="Q522" s="61">
        <f t="shared" si="654"/>
        <v>5173.6640321167706</v>
      </c>
      <c r="R522" s="61">
        <f t="shared" si="655"/>
        <v>1724.5546773722567</v>
      </c>
      <c r="S522" s="61">
        <f t="shared" si="656"/>
        <v>229.94062364963423</v>
      </c>
      <c r="T522" s="58">
        <f t="shared" si="657"/>
        <v>263.94884188741514</v>
      </c>
      <c r="U522" s="61">
        <f t="shared" si="658"/>
        <v>2586.8320160583853</v>
      </c>
      <c r="V522" s="58">
        <f t="shared" si="659"/>
        <v>862.27733868612836</v>
      </c>
      <c r="W522" s="101">
        <v>2.5000000000000001E-2</v>
      </c>
      <c r="X522" s="63">
        <f t="shared" si="660"/>
        <v>172.45546773722569</v>
      </c>
      <c r="Y522" s="61">
        <v>0</v>
      </c>
      <c r="Z522" s="61">
        <v>22.603581944526638</v>
      </c>
      <c r="AA522" s="61">
        <f t="shared" si="661"/>
        <v>862.27733868612847</v>
      </c>
      <c r="AB522" s="61">
        <f t="shared" si="662"/>
        <v>172.45546773722569</v>
      </c>
      <c r="AC522" s="61">
        <v>1426.3306023892121</v>
      </c>
      <c r="AD522" s="61">
        <v>631.27324770003645</v>
      </c>
      <c r="AE522" s="61">
        <v>409.1207049254935</v>
      </c>
      <c r="AF522" s="61">
        <v>0</v>
      </c>
      <c r="AG522" s="61">
        <f t="shared" si="663"/>
        <v>237.98854547737139</v>
      </c>
      <c r="AH522" s="64"/>
      <c r="AI522" s="64"/>
      <c r="AJ522" s="67">
        <v>93</v>
      </c>
      <c r="AK522" s="73" t="s">
        <v>66</v>
      </c>
      <c r="AL522" s="67">
        <v>13386</v>
      </c>
      <c r="AM522" s="72" t="s">
        <v>714</v>
      </c>
      <c r="AN522" s="72" t="s">
        <v>710</v>
      </c>
      <c r="AO522" s="138">
        <f t="shared" si="677"/>
        <v>62083.968385401247</v>
      </c>
      <c r="AP522" s="65">
        <f t="shared" si="678"/>
        <v>20694.656128467082</v>
      </c>
      <c r="AQ522" s="65">
        <f t="shared" si="679"/>
        <v>2069.4656128467082</v>
      </c>
      <c r="AR522" s="65">
        <f t="shared" si="680"/>
        <v>0</v>
      </c>
      <c r="AS522" s="65">
        <f t="shared" si="681"/>
        <v>271.24298333431966</v>
      </c>
      <c r="AT522" s="65">
        <f t="shared" si="682"/>
        <v>10347.328064233541</v>
      </c>
      <c r="AU522" s="65">
        <f t="shared" si="683"/>
        <v>2069.4656128467082</v>
      </c>
      <c r="AV522" s="65">
        <f t="shared" si="684"/>
        <v>17115.967228670546</v>
      </c>
      <c r="AW522" s="65">
        <f t="shared" si="685"/>
        <v>7575.2789724004379</v>
      </c>
      <c r="AX522" s="65">
        <f t="shared" si="686"/>
        <v>4909.4484591059218</v>
      </c>
      <c r="AY522" s="65">
        <f t="shared" si="687"/>
        <v>0</v>
      </c>
      <c r="AZ522" s="65">
        <f t="shared" si="688"/>
        <v>2855.8625457284566</v>
      </c>
      <c r="BB522" s="64"/>
      <c r="BC522" s="66"/>
      <c r="BD522" s="66"/>
      <c r="BE522" s="66"/>
    </row>
    <row r="523" spans="2:57" ht="21" customHeight="1" x14ac:dyDescent="0.2">
      <c r="B523" s="67">
        <v>94</v>
      </c>
      <c r="C523" s="73" t="s">
        <v>66</v>
      </c>
      <c r="D523" s="67">
        <v>13294</v>
      </c>
      <c r="E523" s="72" t="s">
        <v>715</v>
      </c>
      <c r="F523" s="72" t="s">
        <v>710</v>
      </c>
      <c r="G523" s="123">
        <v>42125</v>
      </c>
      <c r="H523" s="55" t="str">
        <f t="shared" si="650"/>
        <v>9 AÑOS</v>
      </c>
      <c r="I523" s="57">
        <v>3316.4513026389554</v>
      </c>
      <c r="J523" s="57"/>
      <c r="K523" s="57"/>
      <c r="L523" s="74"/>
      <c r="M523" s="171">
        <v>4.0000000000000002E-4</v>
      </c>
      <c r="N523" s="81">
        <f t="shared" si="651"/>
        <v>132.65805210555823</v>
      </c>
      <c r="O523" s="57">
        <f t="shared" si="652"/>
        <v>3449.1093547445134</v>
      </c>
      <c r="P523" s="81">
        <f t="shared" si="653"/>
        <v>6898.2187094890269</v>
      </c>
      <c r="Q523" s="81">
        <f t="shared" si="654"/>
        <v>5173.6640321167706</v>
      </c>
      <c r="R523" s="81">
        <f t="shared" si="655"/>
        <v>1724.5546773722567</v>
      </c>
      <c r="S523" s="81">
        <f t="shared" si="656"/>
        <v>229.94062364963423</v>
      </c>
      <c r="T523" s="57">
        <f t="shared" si="657"/>
        <v>263.94884188741514</v>
      </c>
      <c r="U523" s="81">
        <f t="shared" si="658"/>
        <v>2586.8320160583853</v>
      </c>
      <c r="V523" s="57">
        <f t="shared" si="659"/>
        <v>862.27733868612836</v>
      </c>
      <c r="W523" s="101">
        <v>2.5000000000000001E-2</v>
      </c>
      <c r="X523" s="158">
        <f t="shared" si="660"/>
        <v>172.45546773722569</v>
      </c>
      <c r="Y523" s="81">
        <v>0</v>
      </c>
      <c r="Z523" s="81">
        <v>22.603581944526638</v>
      </c>
      <c r="AA523" s="81">
        <f t="shared" si="661"/>
        <v>862.27733868612847</v>
      </c>
      <c r="AB523" s="81">
        <f t="shared" si="662"/>
        <v>172.45546773722569</v>
      </c>
      <c r="AC523" s="81">
        <v>1426.3306023892121</v>
      </c>
      <c r="AD523" s="81">
        <v>631.27324770003645</v>
      </c>
      <c r="AE523" s="81">
        <v>409.1207049254935</v>
      </c>
      <c r="AF523" s="81">
        <v>0</v>
      </c>
      <c r="AG523" s="81">
        <f t="shared" si="663"/>
        <v>237.98854547737139</v>
      </c>
      <c r="AH523" s="64"/>
      <c r="AI523" s="64"/>
      <c r="AJ523" s="67">
        <v>94</v>
      </c>
      <c r="AK523" s="73" t="s">
        <v>66</v>
      </c>
      <c r="AL523" s="67">
        <v>13294</v>
      </c>
      <c r="AM523" s="72" t="s">
        <v>715</v>
      </c>
      <c r="AN523" s="72" t="s">
        <v>710</v>
      </c>
      <c r="AO523" s="126">
        <f t="shared" si="677"/>
        <v>62083.968385401247</v>
      </c>
      <c r="AP523" s="159">
        <f t="shared" si="678"/>
        <v>20694.656128467082</v>
      </c>
      <c r="AQ523" s="159">
        <f t="shared" si="679"/>
        <v>2069.4656128467082</v>
      </c>
      <c r="AR523" s="159">
        <f t="shared" si="680"/>
        <v>0</v>
      </c>
      <c r="AS523" s="159">
        <f t="shared" si="681"/>
        <v>271.24298333431966</v>
      </c>
      <c r="AT523" s="159">
        <f t="shared" si="682"/>
        <v>10347.328064233541</v>
      </c>
      <c r="AU523" s="159">
        <f t="shared" si="683"/>
        <v>2069.4656128467082</v>
      </c>
      <c r="AV523" s="159">
        <f t="shared" si="684"/>
        <v>17115.967228670546</v>
      </c>
      <c r="AW523" s="159">
        <f t="shared" si="685"/>
        <v>7575.2789724004379</v>
      </c>
      <c r="AX523" s="159">
        <f t="shared" si="686"/>
        <v>4909.4484591059218</v>
      </c>
      <c r="AY523" s="159">
        <f t="shared" si="687"/>
        <v>0</v>
      </c>
      <c r="AZ523" s="159">
        <f t="shared" si="688"/>
        <v>2855.8625457284566</v>
      </c>
      <c r="BB523" s="64"/>
      <c r="BC523" s="66"/>
      <c r="BD523" s="66"/>
      <c r="BE523" s="66"/>
    </row>
    <row r="524" spans="2:57" ht="21" customHeight="1" x14ac:dyDescent="0.2">
      <c r="B524" s="67">
        <v>95</v>
      </c>
      <c r="C524" s="73" t="s">
        <v>66</v>
      </c>
      <c r="D524" s="67">
        <v>13211</v>
      </c>
      <c r="E524" s="72" t="s">
        <v>716</v>
      </c>
      <c r="F524" s="72" t="s">
        <v>710</v>
      </c>
      <c r="G524" s="123">
        <v>39006</v>
      </c>
      <c r="H524" s="56" t="str">
        <f t="shared" si="650"/>
        <v>18 AÑOS</v>
      </c>
      <c r="I524" s="57">
        <v>3316.4513026389554</v>
      </c>
      <c r="J524" s="58"/>
      <c r="K524" s="58"/>
      <c r="L524" s="59"/>
      <c r="M524" s="60">
        <v>4.0000000000000002E-4</v>
      </c>
      <c r="N524" s="61">
        <f t="shared" si="651"/>
        <v>132.65805210555823</v>
      </c>
      <c r="O524" s="58">
        <f t="shared" si="652"/>
        <v>3449.1093547445134</v>
      </c>
      <c r="P524" s="61">
        <f t="shared" si="653"/>
        <v>6898.2187094890269</v>
      </c>
      <c r="Q524" s="61">
        <f t="shared" si="654"/>
        <v>5173.6640321167706</v>
      </c>
      <c r="R524" s="61">
        <f t="shared" si="655"/>
        <v>1724.5546773722567</v>
      </c>
      <c r="S524" s="61">
        <f t="shared" si="656"/>
        <v>229.94062364963423</v>
      </c>
      <c r="T524" s="58">
        <f t="shared" si="657"/>
        <v>263.94884188741514</v>
      </c>
      <c r="U524" s="61">
        <f t="shared" si="658"/>
        <v>2586.8320160583853</v>
      </c>
      <c r="V524" s="58">
        <f t="shared" si="659"/>
        <v>862.27733868612836</v>
      </c>
      <c r="W524" s="101">
        <v>7.4999999999999997E-2</v>
      </c>
      <c r="X524" s="63">
        <f t="shared" si="660"/>
        <v>517.36640321167704</v>
      </c>
      <c r="Y524" s="61">
        <v>0</v>
      </c>
      <c r="Z524" s="61">
        <v>22.603581944526638</v>
      </c>
      <c r="AA524" s="61">
        <f t="shared" si="661"/>
        <v>862.27733868612847</v>
      </c>
      <c r="AB524" s="61">
        <f t="shared" si="662"/>
        <v>172.45546773722569</v>
      </c>
      <c r="AC524" s="61">
        <v>1426.3306023892121</v>
      </c>
      <c r="AD524" s="61">
        <v>631.27324770003645</v>
      </c>
      <c r="AE524" s="61">
        <v>409.1207049254935</v>
      </c>
      <c r="AF524" s="61">
        <v>0</v>
      </c>
      <c r="AG524" s="61">
        <f t="shared" si="663"/>
        <v>237.98854547737139</v>
      </c>
      <c r="AH524" s="64"/>
      <c r="AI524" s="64"/>
      <c r="AJ524" s="67">
        <v>95</v>
      </c>
      <c r="AK524" s="73" t="s">
        <v>66</v>
      </c>
      <c r="AL524" s="67">
        <v>13211</v>
      </c>
      <c r="AM524" s="72" t="s">
        <v>716</v>
      </c>
      <c r="AN524" s="72" t="s">
        <v>710</v>
      </c>
      <c r="AO524" s="138">
        <f t="shared" si="677"/>
        <v>62083.968385401247</v>
      </c>
      <c r="AP524" s="65">
        <f t="shared" si="678"/>
        <v>20694.656128467082</v>
      </c>
      <c r="AQ524" s="65">
        <f t="shared" si="679"/>
        <v>6208.396838540124</v>
      </c>
      <c r="AR524" s="65">
        <f t="shared" si="680"/>
        <v>0</v>
      </c>
      <c r="AS524" s="65">
        <f t="shared" si="681"/>
        <v>271.24298333431966</v>
      </c>
      <c r="AT524" s="65">
        <f t="shared" si="682"/>
        <v>10347.328064233541</v>
      </c>
      <c r="AU524" s="65">
        <f t="shared" si="683"/>
        <v>2069.4656128467082</v>
      </c>
      <c r="AV524" s="65">
        <f t="shared" si="684"/>
        <v>17115.967228670546</v>
      </c>
      <c r="AW524" s="65">
        <f t="shared" si="685"/>
        <v>7575.2789724004379</v>
      </c>
      <c r="AX524" s="65">
        <f t="shared" si="686"/>
        <v>4909.4484591059218</v>
      </c>
      <c r="AY524" s="65">
        <f t="shared" si="687"/>
        <v>0</v>
      </c>
      <c r="AZ524" s="65">
        <f t="shared" si="688"/>
        <v>2855.8625457284566</v>
      </c>
      <c r="BB524" s="64"/>
      <c r="BC524" s="66"/>
      <c r="BD524" s="66"/>
      <c r="BE524" s="66"/>
    </row>
    <row r="525" spans="2:57" ht="21" customHeight="1" x14ac:dyDescent="0.2">
      <c r="B525" s="67">
        <v>96</v>
      </c>
      <c r="C525" s="73" t="s">
        <v>66</v>
      </c>
      <c r="D525" s="67">
        <v>13395</v>
      </c>
      <c r="E525" s="73" t="s">
        <v>717</v>
      </c>
      <c r="F525" s="72" t="s">
        <v>710</v>
      </c>
      <c r="G525" s="157">
        <v>45123</v>
      </c>
      <c r="H525" s="56" t="str">
        <f t="shared" si="650"/>
        <v>1 AÑOS</v>
      </c>
      <c r="I525" s="57">
        <v>3316.4513026389554</v>
      </c>
      <c r="J525" s="58"/>
      <c r="K525" s="58"/>
      <c r="L525" s="59"/>
      <c r="M525" s="60">
        <v>4.0000000000000002E-4</v>
      </c>
      <c r="N525" s="61">
        <f t="shared" si="651"/>
        <v>132.65805210555823</v>
      </c>
      <c r="O525" s="58">
        <f t="shared" si="652"/>
        <v>3449.1093547445134</v>
      </c>
      <c r="P525" s="61">
        <f t="shared" si="653"/>
        <v>6898.2187094890269</v>
      </c>
      <c r="Q525" s="61">
        <f t="shared" si="654"/>
        <v>5173.6640321167706</v>
      </c>
      <c r="R525" s="61">
        <f t="shared" si="655"/>
        <v>1724.5546773722567</v>
      </c>
      <c r="S525" s="61">
        <f t="shared" si="656"/>
        <v>229.94062364963423</v>
      </c>
      <c r="T525" s="58">
        <f t="shared" si="657"/>
        <v>263.94884188741514</v>
      </c>
      <c r="U525" s="61">
        <f t="shared" si="658"/>
        <v>2586.8320160583853</v>
      </c>
      <c r="V525" s="58">
        <f t="shared" si="659"/>
        <v>862.27733868612836</v>
      </c>
      <c r="W525" s="101">
        <v>7.4999999999999997E-2</v>
      </c>
      <c r="X525" s="63">
        <f t="shared" si="660"/>
        <v>517.36640321167704</v>
      </c>
      <c r="Y525" s="61">
        <v>0</v>
      </c>
      <c r="Z525" s="61">
        <v>22.603581944526638</v>
      </c>
      <c r="AA525" s="61">
        <f t="shared" si="661"/>
        <v>862.27733868612847</v>
      </c>
      <c r="AB525" s="61">
        <f t="shared" si="662"/>
        <v>172.45546773722569</v>
      </c>
      <c r="AC525" s="61">
        <v>1426.3306023892121</v>
      </c>
      <c r="AD525" s="61">
        <v>631.27324770003645</v>
      </c>
      <c r="AE525" s="61">
        <v>409.1207049254935</v>
      </c>
      <c r="AF525" s="61">
        <v>0</v>
      </c>
      <c r="AG525" s="61">
        <f t="shared" si="663"/>
        <v>237.98854547737139</v>
      </c>
      <c r="AH525" s="64"/>
      <c r="AI525" s="64"/>
      <c r="AJ525" s="67">
        <v>96</v>
      </c>
      <c r="AK525" s="73" t="s">
        <v>66</v>
      </c>
      <c r="AL525" s="67">
        <v>13395</v>
      </c>
      <c r="AM525" s="73" t="s">
        <v>717</v>
      </c>
      <c r="AN525" s="72" t="s">
        <v>710</v>
      </c>
      <c r="AO525" s="138">
        <f t="shared" si="677"/>
        <v>62083.968385401247</v>
      </c>
      <c r="AP525" s="65">
        <f t="shared" si="678"/>
        <v>20694.656128467082</v>
      </c>
      <c r="AQ525" s="65">
        <f t="shared" si="679"/>
        <v>6208.396838540124</v>
      </c>
      <c r="AR525" s="65">
        <f t="shared" si="680"/>
        <v>0</v>
      </c>
      <c r="AS525" s="65">
        <f t="shared" si="681"/>
        <v>271.24298333431966</v>
      </c>
      <c r="AT525" s="65">
        <f t="shared" si="682"/>
        <v>10347.328064233541</v>
      </c>
      <c r="AU525" s="65">
        <f t="shared" si="683"/>
        <v>2069.4656128467082</v>
      </c>
      <c r="AV525" s="65">
        <f t="shared" si="684"/>
        <v>17115.967228670546</v>
      </c>
      <c r="AW525" s="65">
        <f t="shared" si="685"/>
        <v>7575.2789724004379</v>
      </c>
      <c r="AX525" s="65">
        <f t="shared" si="686"/>
        <v>4909.4484591059218</v>
      </c>
      <c r="AY525" s="65">
        <f t="shared" si="687"/>
        <v>0</v>
      </c>
      <c r="AZ525" s="65">
        <f t="shared" si="688"/>
        <v>2855.8625457284566</v>
      </c>
      <c r="BB525" s="64"/>
      <c r="BC525" s="66"/>
      <c r="BD525" s="66"/>
      <c r="BE525" s="66"/>
    </row>
    <row r="526" spans="2:57" ht="21" customHeight="1" x14ac:dyDescent="0.2">
      <c r="B526" s="67">
        <v>97</v>
      </c>
      <c r="C526" s="73" t="s">
        <v>66</v>
      </c>
      <c r="D526" s="67">
        <v>13011</v>
      </c>
      <c r="E526" s="72" t="s">
        <v>718</v>
      </c>
      <c r="F526" s="72" t="s">
        <v>402</v>
      </c>
      <c r="G526" s="123">
        <v>36455</v>
      </c>
      <c r="H526" s="56" t="str">
        <f t="shared" si="650"/>
        <v>25 AÑOS</v>
      </c>
      <c r="I526" s="57">
        <v>4605.990352791825</v>
      </c>
      <c r="J526" s="58"/>
      <c r="K526" s="58"/>
      <c r="L526" s="59"/>
      <c r="M526" s="60">
        <v>4.0000000000000002E-4</v>
      </c>
      <c r="N526" s="61">
        <f t="shared" si="651"/>
        <v>184.23961411167301</v>
      </c>
      <c r="O526" s="58">
        <f t="shared" si="652"/>
        <v>4790.2299669034983</v>
      </c>
      <c r="P526" s="61">
        <f t="shared" si="653"/>
        <v>9580.4599338069966</v>
      </c>
      <c r="Q526" s="61">
        <f t="shared" si="654"/>
        <v>7185.3449503552474</v>
      </c>
      <c r="R526" s="61">
        <f t="shared" si="655"/>
        <v>2395.1149834517491</v>
      </c>
      <c r="S526" s="61">
        <f t="shared" si="656"/>
        <v>319.34866446023324</v>
      </c>
      <c r="T526" s="58">
        <f t="shared" si="657"/>
        <v>366.58033193390173</v>
      </c>
      <c r="U526" s="61">
        <f t="shared" si="658"/>
        <v>3592.6724751776237</v>
      </c>
      <c r="V526" s="58">
        <f t="shared" si="659"/>
        <v>1197.5574917258746</v>
      </c>
      <c r="W526" s="101">
        <v>7.4999999999999997E-2</v>
      </c>
      <c r="X526" s="63">
        <f t="shared" si="660"/>
        <v>718.53449503552474</v>
      </c>
      <c r="Y526" s="61">
        <v>254.00479459865085</v>
      </c>
      <c r="Z526" s="61">
        <v>0</v>
      </c>
      <c r="AA526" s="61">
        <f t="shared" si="661"/>
        <v>1197.5574917258746</v>
      </c>
      <c r="AB526" s="61">
        <f t="shared" si="662"/>
        <v>239.51149834517494</v>
      </c>
      <c r="AC526" s="61">
        <v>1722.5996098965591</v>
      </c>
      <c r="AD526" s="61">
        <v>909.68742271057397</v>
      </c>
      <c r="AE526" s="61">
        <v>568.19951449754774</v>
      </c>
      <c r="AF526" s="61">
        <v>0</v>
      </c>
      <c r="AG526" s="61">
        <f t="shared" si="663"/>
        <v>330.52586771634139</v>
      </c>
      <c r="AH526" s="64"/>
      <c r="AI526" s="64"/>
      <c r="AJ526" s="67">
        <v>97</v>
      </c>
      <c r="AK526" s="73" t="s">
        <v>66</v>
      </c>
      <c r="AL526" s="67">
        <v>13011</v>
      </c>
      <c r="AM526" s="72" t="s">
        <v>718</v>
      </c>
      <c r="AN526" s="72" t="s">
        <v>402</v>
      </c>
      <c r="AO526" s="138">
        <f t="shared" si="677"/>
        <v>86224.139404262969</v>
      </c>
      <c r="AP526" s="65">
        <f t="shared" si="678"/>
        <v>28741.37980142099</v>
      </c>
      <c r="AQ526" s="65">
        <f t="shared" si="679"/>
        <v>8622.4139404262969</v>
      </c>
      <c r="AR526" s="65">
        <f t="shared" si="680"/>
        <v>3048.0575351838102</v>
      </c>
      <c r="AS526" s="65">
        <f t="shared" si="681"/>
        <v>0</v>
      </c>
      <c r="AT526" s="65">
        <f t="shared" si="682"/>
        <v>14370.689900710495</v>
      </c>
      <c r="AU526" s="65">
        <f t="shared" si="683"/>
        <v>2874.1379801420994</v>
      </c>
      <c r="AV526" s="65">
        <f t="shared" si="684"/>
        <v>20671.19531875871</v>
      </c>
      <c r="AW526" s="65">
        <f t="shared" si="685"/>
        <v>10916.249072526887</v>
      </c>
      <c r="AX526" s="65">
        <f t="shared" si="686"/>
        <v>6818.3941739705733</v>
      </c>
      <c r="AY526" s="65">
        <f t="shared" si="687"/>
        <v>0</v>
      </c>
      <c r="AZ526" s="65">
        <f t="shared" si="688"/>
        <v>3966.3104125960967</v>
      </c>
      <c r="BB526" s="64"/>
      <c r="BC526" s="66"/>
      <c r="BD526" s="66"/>
      <c r="BE526" s="66"/>
    </row>
    <row r="527" spans="2:57" ht="21" customHeight="1" x14ac:dyDescent="0.2">
      <c r="B527" s="67">
        <v>98</v>
      </c>
      <c r="C527" s="73" t="s">
        <v>66</v>
      </c>
      <c r="D527" s="67">
        <v>13276</v>
      </c>
      <c r="E527" s="72" t="s">
        <v>719</v>
      </c>
      <c r="F527" s="72" t="s">
        <v>720</v>
      </c>
      <c r="G527" s="55">
        <v>41548</v>
      </c>
      <c r="H527" s="55" t="str">
        <f t="shared" si="650"/>
        <v>11 AÑOS</v>
      </c>
      <c r="I527" s="57">
        <v>3524.630710013208</v>
      </c>
      <c r="J527" s="57"/>
      <c r="K527" s="57"/>
      <c r="L527" s="74"/>
      <c r="M527" s="171">
        <v>4.0000000000000002E-4</v>
      </c>
      <c r="N527" s="81">
        <f t="shared" si="651"/>
        <v>140.98522840052831</v>
      </c>
      <c r="O527" s="57">
        <f t="shared" si="652"/>
        <v>3665.6159384137363</v>
      </c>
      <c r="P527" s="81">
        <f t="shared" si="653"/>
        <v>7331.2318768274727</v>
      </c>
      <c r="Q527" s="81">
        <f t="shared" si="654"/>
        <v>5498.423907620605</v>
      </c>
      <c r="R527" s="81">
        <f t="shared" si="655"/>
        <v>1832.8079692068682</v>
      </c>
      <c r="S527" s="81">
        <f t="shared" si="656"/>
        <v>244.37439589424909</v>
      </c>
      <c r="T527" s="57">
        <f t="shared" si="657"/>
        <v>280.51736904700851</v>
      </c>
      <c r="U527" s="81">
        <f t="shared" si="658"/>
        <v>2749.2119538103025</v>
      </c>
      <c r="V527" s="57">
        <f t="shared" si="659"/>
        <v>916.40398460343408</v>
      </c>
      <c r="W527" s="101">
        <v>0.05</v>
      </c>
      <c r="X527" s="158">
        <f t="shared" si="660"/>
        <v>366.56159384137368</v>
      </c>
      <c r="Y527" s="81">
        <v>28.181050087718745</v>
      </c>
      <c r="Z527" s="81">
        <v>0</v>
      </c>
      <c r="AA527" s="81">
        <f t="shared" si="661"/>
        <v>916.4039846034342</v>
      </c>
      <c r="AB527" s="81">
        <f t="shared" si="662"/>
        <v>183.28079692068681</v>
      </c>
      <c r="AC527" s="81">
        <v>1471.6971401033604</v>
      </c>
      <c r="AD527" s="81">
        <v>670.89936568127791</v>
      </c>
      <c r="AE527" s="81">
        <v>434.80192202286321</v>
      </c>
      <c r="AF527" s="81">
        <v>0</v>
      </c>
      <c r="AG527" s="81">
        <f t="shared" si="663"/>
        <v>252.92749975054778</v>
      </c>
      <c r="AH527" s="64"/>
      <c r="AI527" s="64"/>
      <c r="AJ527" s="67">
        <v>98</v>
      </c>
      <c r="AK527" s="73" t="s">
        <v>66</v>
      </c>
      <c r="AL527" s="67">
        <v>13276</v>
      </c>
      <c r="AM527" s="72" t="s">
        <v>719</v>
      </c>
      <c r="AN527" s="72" t="s">
        <v>720</v>
      </c>
      <c r="AO527" s="126">
        <f t="shared" si="677"/>
        <v>65981.086891447252</v>
      </c>
      <c r="AP527" s="159">
        <f t="shared" si="678"/>
        <v>21993.69563048242</v>
      </c>
      <c r="AQ527" s="159">
        <f t="shared" si="679"/>
        <v>4398.7391260964841</v>
      </c>
      <c r="AR527" s="159">
        <f t="shared" si="680"/>
        <v>338.17260105262494</v>
      </c>
      <c r="AS527" s="159">
        <f t="shared" si="681"/>
        <v>0</v>
      </c>
      <c r="AT527" s="159">
        <f t="shared" si="682"/>
        <v>10996.84781524121</v>
      </c>
      <c r="AU527" s="159">
        <f t="shared" si="683"/>
        <v>2199.3695630482416</v>
      </c>
      <c r="AV527" s="159">
        <f t="shared" si="684"/>
        <v>17660.365681240324</v>
      </c>
      <c r="AW527" s="159">
        <f t="shared" si="685"/>
        <v>8050.792388175335</v>
      </c>
      <c r="AX527" s="159">
        <f t="shared" si="686"/>
        <v>5217.6230642743585</v>
      </c>
      <c r="AY527" s="159">
        <f t="shared" si="687"/>
        <v>0</v>
      </c>
      <c r="AZ527" s="159">
        <f t="shared" si="688"/>
        <v>3035.1299970065734</v>
      </c>
      <c r="BB527" s="64"/>
      <c r="BC527" s="66"/>
      <c r="BD527" s="66"/>
      <c r="BE527" s="66"/>
    </row>
    <row r="528" spans="2:57" ht="21" customHeight="1" x14ac:dyDescent="0.2">
      <c r="B528" s="67">
        <v>99</v>
      </c>
      <c r="C528" s="73" t="s">
        <v>66</v>
      </c>
      <c r="D528" s="67">
        <v>13333</v>
      </c>
      <c r="E528" s="72" t="s">
        <v>721</v>
      </c>
      <c r="F528" s="72" t="s">
        <v>722</v>
      </c>
      <c r="G528" s="55">
        <v>42979</v>
      </c>
      <c r="H528" s="55" t="str">
        <f t="shared" si="650"/>
        <v>7 AÑOS</v>
      </c>
      <c r="I528" s="57">
        <v>3450.5296367697269</v>
      </c>
      <c r="J528" s="57"/>
      <c r="K528" s="57"/>
      <c r="L528" s="74"/>
      <c r="M528" s="171">
        <v>4.0000000000000002E-4</v>
      </c>
      <c r="N528" s="81">
        <f t="shared" si="651"/>
        <v>138.02118547078908</v>
      </c>
      <c r="O528" s="57">
        <f t="shared" si="652"/>
        <v>3588.550822240516</v>
      </c>
      <c r="P528" s="81">
        <f>O528*2</f>
        <v>7177.1016444810321</v>
      </c>
      <c r="Q528" s="81">
        <f>P528*0.75</f>
        <v>5382.8262333607745</v>
      </c>
      <c r="R528" s="81">
        <f>P528*0.25</f>
        <v>1794.275411120258</v>
      </c>
      <c r="S528" s="81">
        <f>(P528/30)</f>
        <v>239.23672148270106</v>
      </c>
      <c r="T528" s="57">
        <f t="shared" si="657"/>
        <v>274.61983258999254</v>
      </c>
      <c r="U528" s="81">
        <f>O528*0.75</f>
        <v>2691.4131166803872</v>
      </c>
      <c r="V528" s="57">
        <f>O528*0.25</f>
        <v>897.13770556012901</v>
      </c>
      <c r="W528" s="101">
        <v>2.5000000000000001E-2</v>
      </c>
      <c r="X528" s="158">
        <f t="shared" si="660"/>
        <v>179.42754111202581</v>
      </c>
      <c r="Y528" s="81">
        <v>20.782798935089602</v>
      </c>
      <c r="Z528" s="81">
        <v>0</v>
      </c>
      <c r="AA528" s="81">
        <f t="shared" si="661"/>
        <v>897.13770556012889</v>
      </c>
      <c r="AB528" s="81">
        <f t="shared" si="662"/>
        <v>179.42754111202581</v>
      </c>
      <c r="AC528" s="81">
        <v>1455.549005298097</v>
      </c>
      <c r="AD528" s="81">
        <v>656.79452261385563</v>
      </c>
      <c r="AE528" s="81">
        <v>425.66074051448845</v>
      </c>
      <c r="AF528" s="81">
        <v>0</v>
      </c>
      <c r="AG528" s="81">
        <f t="shared" si="663"/>
        <v>247.6100067345956</v>
      </c>
      <c r="AH528" s="64"/>
      <c r="AI528" s="64"/>
      <c r="AJ528" s="67">
        <v>99</v>
      </c>
      <c r="AK528" s="73" t="s">
        <v>66</v>
      </c>
      <c r="AL528" s="67">
        <v>13333</v>
      </c>
      <c r="AM528" s="72" t="s">
        <v>721</v>
      </c>
      <c r="AN528" s="72" t="s">
        <v>722</v>
      </c>
      <c r="AO528" s="138">
        <f t="shared" si="677"/>
        <v>64593.914800329294</v>
      </c>
      <c r="AP528" s="65">
        <f t="shared" si="678"/>
        <v>21531.304933443098</v>
      </c>
      <c r="AQ528" s="65">
        <f t="shared" si="679"/>
        <v>2153.1304933443098</v>
      </c>
      <c r="AR528" s="65">
        <f t="shared" si="680"/>
        <v>249.39358722107522</v>
      </c>
      <c r="AS528" s="65">
        <f t="shared" si="681"/>
        <v>0</v>
      </c>
      <c r="AT528" s="65">
        <f t="shared" si="682"/>
        <v>10765.652466721547</v>
      </c>
      <c r="AU528" s="65">
        <f t="shared" si="683"/>
        <v>2153.1304933443098</v>
      </c>
      <c r="AV528" s="65">
        <f t="shared" si="684"/>
        <v>17466.588063577165</v>
      </c>
      <c r="AW528" s="65">
        <f t="shared" si="685"/>
        <v>7881.5342713662676</v>
      </c>
      <c r="AX528" s="65">
        <f t="shared" si="686"/>
        <v>5107.9288861738614</v>
      </c>
      <c r="AY528" s="65">
        <f t="shared" si="687"/>
        <v>0</v>
      </c>
      <c r="AZ528" s="65">
        <f t="shared" si="688"/>
        <v>2971.3200808151473</v>
      </c>
      <c r="BB528" s="64"/>
      <c r="BC528" s="66"/>
      <c r="BD528" s="66"/>
      <c r="BE528" s="66"/>
    </row>
    <row r="529" spans="2:57" ht="21" customHeight="1" x14ac:dyDescent="0.2">
      <c r="B529" s="67">
        <v>100</v>
      </c>
      <c r="C529" s="73" t="s">
        <v>66</v>
      </c>
      <c r="D529" s="67">
        <v>13209</v>
      </c>
      <c r="E529" s="72" t="s">
        <v>723</v>
      </c>
      <c r="F529" s="72" t="s">
        <v>724</v>
      </c>
      <c r="G529" s="55">
        <v>39114</v>
      </c>
      <c r="H529" s="55" t="str">
        <f t="shared" si="650"/>
        <v>17 AÑOS</v>
      </c>
      <c r="I529" s="57">
        <v>3170.3326204132072</v>
      </c>
      <c r="J529" s="57"/>
      <c r="K529" s="57"/>
      <c r="L529" s="74"/>
      <c r="M529" s="171">
        <v>7.7999999999999999E-4</v>
      </c>
      <c r="N529" s="81">
        <f t="shared" ref="N529:N557" si="689">I529*0.078</f>
        <v>247.28594439223016</v>
      </c>
      <c r="O529" s="57">
        <f t="shared" si="652"/>
        <v>3417.6185648054375</v>
      </c>
      <c r="P529" s="81">
        <f t="shared" si="653"/>
        <v>6835.2371296108749</v>
      </c>
      <c r="Q529" s="81">
        <f t="shared" si="654"/>
        <v>5126.427847208156</v>
      </c>
      <c r="R529" s="81">
        <f t="shared" si="655"/>
        <v>1708.8092824027187</v>
      </c>
      <c r="S529" s="81">
        <f t="shared" si="656"/>
        <v>227.84123765369583</v>
      </c>
      <c r="T529" s="57">
        <f t="shared" si="657"/>
        <v>261.53895670267741</v>
      </c>
      <c r="U529" s="81">
        <f t="shared" si="658"/>
        <v>2563.213923604078</v>
      </c>
      <c r="V529" s="57">
        <f t="shared" si="659"/>
        <v>854.40464120135937</v>
      </c>
      <c r="W529" s="101">
        <v>7.4999999999999997E-2</v>
      </c>
      <c r="X529" s="158">
        <f t="shared" si="660"/>
        <v>512.6427847208156</v>
      </c>
      <c r="Y529" s="81">
        <v>0</v>
      </c>
      <c r="Z529" s="81">
        <v>25.27</v>
      </c>
      <c r="AA529" s="81">
        <f t="shared" si="661"/>
        <v>854.40464120135937</v>
      </c>
      <c r="AB529" s="81">
        <f t="shared" si="662"/>
        <v>170.88092824027186</v>
      </c>
      <c r="AC529" s="81">
        <v>1420.53</v>
      </c>
      <c r="AD529" s="81">
        <v>626.21</v>
      </c>
      <c r="AE529" s="81">
        <v>405.84</v>
      </c>
      <c r="AF529" s="81">
        <v>0</v>
      </c>
      <c r="AG529" s="81">
        <f t="shared" si="663"/>
        <v>235.81568097157518</v>
      </c>
      <c r="AH529" s="64"/>
      <c r="AI529" s="64"/>
      <c r="AJ529" s="67">
        <v>100</v>
      </c>
      <c r="AK529" s="73" t="s">
        <v>66</v>
      </c>
      <c r="AL529" s="67">
        <v>13209</v>
      </c>
      <c r="AM529" s="72" t="s">
        <v>723</v>
      </c>
      <c r="AN529" s="72" t="s">
        <v>724</v>
      </c>
      <c r="AO529" s="138">
        <f t="shared" ref="AO529:AO552" si="690">Q529*10</f>
        <v>51264.278472081562</v>
      </c>
      <c r="AP529" s="65">
        <f t="shared" ref="AP529:AP552" si="691">R529*10</f>
        <v>17088.092824027186</v>
      </c>
      <c r="AQ529" s="65">
        <f t="shared" ref="AQ529:AQ552" si="692">X529*10</f>
        <v>5126.427847208156</v>
      </c>
      <c r="AR529" s="65">
        <f t="shared" ref="AR529:AR552" si="693">Y529*10</f>
        <v>0</v>
      </c>
      <c r="AS529" s="65">
        <f t="shared" ref="AS529:AS552" si="694">Z529*10</f>
        <v>252.7</v>
      </c>
      <c r="AT529" s="65">
        <f t="shared" ref="AT529:AT552" si="695">AA529*10</f>
        <v>8544.046412013593</v>
      </c>
      <c r="AU529" s="65">
        <f t="shared" ref="AU529:AU552" si="696">AB529*10</f>
        <v>1708.8092824027185</v>
      </c>
      <c r="AV529" s="65">
        <f t="shared" ref="AV529:AV552" si="697">AC529*10</f>
        <v>14205.3</v>
      </c>
      <c r="AW529" s="65">
        <f t="shared" ref="AW529:AW552" si="698">AD529*10</f>
        <v>6262.1</v>
      </c>
      <c r="AX529" s="65">
        <f t="shared" ref="AX529:AX552" si="699">AE529*10</f>
        <v>4058.3999999999996</v>
      </c>
      <c r="AY529" s="65">
        <f t="shared" ref="AY529:AY552" si="700">AF529*10</f>
        <v>0</v>
      </c>
      <c r="AZ529" s="65">
        <f t="shared" ref="AZ529:AZ552" si="701">AG529*10</f>
        <v>2358.1568097157519</v>
      </c>
      <c r="BB529" s="64"/>
      <c r="BC529" s="66"/>
      <c r="BD529" s="66"/>
      <c r="BE529" s="66"/>
    </row>
    <row r="530" spans="2:57" ht="21" customHeight="1" x14ac:dyDescent="0.2">
      <c r="B530" s="67">
        <v>101</v>
      </c>
      <c r="C530" s="73" t="s">
        <v>66</v>
      </c>
      <c r="D530" s="67">
        <v>13256</v>
      </c>
      <c r="E530" s="72" t="s">
        <v>725</v>
      </c>
      <c r="F530" s="72" t="s">
        <v>724</v>
      </c>
      <c r="G530" s="55">
        <v>40771</v>
      </c>
      <c r="H530" s="55" t="str">
        <f t="shared" si="650"/>
        <v>13 AÑOS</v>
      </c>
      <c r="I530" s="57">
        <v>3170.3326204132072</v>
      </c>
      <c r="J530" s="57"/>
      <c r="K530" s="57"/>
      <c r="L530" s="74"/>
      <c r="M530" s="171">
        <v>7.7999999999999999E-4</v>
      </c>
      <c r="N530" s="81">
        <f t="shared" si="689"/>
        <v>247.28594439223016</v>
      </c>
      <c r="O530" s="57">
        <f t="shared" si="652"/>
        <v>3417.6185648054375</v>
      </c>
      <c r="P530" s="81">
        <f t="shared" si="653"/>
        <v>6835.2371296108749</v>
      </c>
      <c r="Q530" s="81">
        <f t="shared" si="654"/>
        <v>5126.427847208156</v>
      </c>
      <c r="R530" s="81">
        <f t="shared" si="655"/>
        <v>1708.8092824027187</v>
      </c>
      <c r="S530" s="81">
        <f t="shared" si="656"/>
        <v>227.84123765369583</v>
      </c>
      <c r="T530" s="57">
        <f t="shared" si="657"/>
        <v>261.53895670267741</v>
      </c>
      <c r="U530" s="81">
        <f t="shared" si="658"/>
        <v>2563.213923604078</v>
      </c>
      <c r="V530" s="57">
        <f t="shared" si="659"/>
        <v>854.40464120135937</v>
      </c>
      <c r="W530" s="101">
        <v>0.05</v>
      </c>
      <c r="X530" s="158">
        <f t="shared" si="660"/>
        <v>341.76185648054377</v>
      </c>
      <c r="Y530" s="81">
        <v>0</v>
      </c>
      <c r="Z530" s="81">
        <v>25.27</v>
      </c>
      <c r="AA530" s="81">
        <f t="shared" si="661"/>
        <v>854.40464120135937</v>
      </c>
      <c r="AB530" s="81">
        <f t="shared" si="662"/>
        <v>170.88092824027186</v>
      </c>
      <c r="AC530" s="81">
        <v>1420.53</v>
      </c>
      <c r="AD530" s="81">
        <v>626.21</v>
      </c>
      <c r="AE530" s="81">
        <v>405.84</v>
      </c>
      <c r="AF530" s="81">
        <v>0</v>
      </c>
      <c r="AG530" s="81">
        <f t="shared" si="663"/>
        <v>235.81568097157518</v>
      </c>
      <c r="AH530" s="64"/>
      <c r="AI530" s="64"/>
      <c r="AJ530" s="67">
        <v>101</v>
      </c>
      <c r="AK530" s="73" t="s">
        <v>66</v>
      </c>
      <c r="AL530" s="67">
        <v>13256</v>
      </c>
      <c r="AM530" s="72" t="s">
        <v>725</v>
      </c>
      <c r="AN530" s="72" t="s">
        <v>724</v>
      </c>
      <c r="AO530" s="138">
        <f t="shared" si="690"/>
        <v>51264.278472081562</v>
      </c>
      <c r="AP530" s="65">
        <f t="shared" si="691"/>
        <v>17088.092824027186</v>
      </c>
      <c r="AQ530" s="65">
        <f t="shared" si="692"/>
        <v>3417.6185648054379</v>
      </c>
      <c r="AR530" s="65">
        <f t="shared" si="693"/>
        <v>0</v>
      </c>
      <c r="AS530" s="65">
        <f t="shared" si="694"/>
        <v>252.7</v>
      </c>
      <c r="AT530" s="65">
        <f t="shared" si="695"/>
        <v>8544.046412013593</v>
      </c>
      <c r="AU530" s="65">
        <f t="shared" si="696"/>
        <v>1708.8092824027185</v>
      </c>
      <c r="AV530" s="65">
        <f t="shared" si="697"/>
        <v>14205.3</v>
      </c>
      <c r="AW530" s="65">
        <f t="shared" si="698"/>
        <v>6262.1</v>
      </c>
      <c r="AX530" s="65">
        <f t="shared" si="699"/>
        <v>4058.3999999999996</v>
      </c>
      <c r="AY530" s="65">
        <f t="shared" si="700"/>
        <v>0</v>
      </c>
      <c r="AZ530" s="65">
        <f t="shared" si="701"/>
        <v>2358.1568097157519</v>
      </c>
      <c r="BB530" s="64"/>
      <c r="BC530" s="66"/>
      <c r="BD530" s="66"/>
      <c r="BE530" s="66"/>
    </row>
    <row r="531" spans="2:57" ht="21" customHeight="1" x14ac:dyDescent="0.2">
      <c r="B531" s="67">
        <v>102</v>
      </c>
      <c r="C531" s="73" t="s">
        <v>66</v>
      </c>
      <c r="D531" s="67">
        <v>13210</v>
      </c>
      <c r="E531" s="72" t="s">
        <v>726</v>
      </c>
      <c r="F531" s="72" t="s">
        <v>724</v>
      </c>
      <c r="G531" s="55">
        <v>38889</v>
      </c>
      <c r="H531" s="55" t="str">
        <f t="shared" si="650"/>
        <v>18 AÑOS</v>
      </c>
      <c r="I531" s="57">
        <v>3170.3326204132072</v>
      </c>
      <c r="J531" s="57"/>
      <c r="K531" s="57"/>
      <c r="L531" s="74"/>
      <c r="M531" s="171">
        <v>7.7999999999999999E-4</v>
      </c>
      <c r="N531" s="81">
        <f t="shared" si="689"/>
        <v>247.28594439223016</v>
      </c>
      <c r="O531" s="57">
        <f t="shared" si="652"/>
        <v>3417.6185648054375</v>
      </c>
      <c r="P531" s="81">
        <f t="shared" si="653"/>
        <v>6835.2371296108749</v>
      </c>
      <c r="Q531" s="81">
        <f t="shared" si="654"/>
        <v>5126.427847208156</v>
      </c>
      <c r="R531" s="81">
        <f t="shared" si="655"/>
        <v>1708.8092824027187</v>
      </c>
      <c r="S531" s="81">
        <f t="shared" si="656"/>
        <v>227.84123765369583</v>
      </c>
      <c r="T531" s="57">
        <f t="shared" si="657"/>
        <v>261.53895670267741</v>
      </c>
      <c r="U531" s="81">
        <f t="shared" si="658"/>
        <v>2563.213923604078</v>
      </c>
      <c r="V531" s="57">
        <f t="shared" si="659"/>
        <v>854.40464120135937</v>
      </c>
      <c r="W531" s="101">
        <v>7.4999999999999997E-2</v>
      </c>
      <c r="X531" s="158">
        <f t="shared" si="660"/>
        <v>512.6427847208156</v>
      </c>
      <c r="Y531" s="81">
        <v>0</v>
      </c>
      <c r="Z531" s="81">
        <v>25.27</v>
      </c>
      <c r="AA531" s="81">
        <f t="shared" si="661"/>
        <v>854.40464120135937</v>
      </c>
      <c r="AB531" s="81">
        <f t="shared" si="662"/>
        <v>170.88092824027186</v>
      </c>
      <c r="AC531" s="81">
        <v>1420.53</v>
      </c>
      <c r="AD531" s="81">
        <v>626.21</v>
      </c>
      <c r="AE531" s="81">
        <v>405.84</v>
      </c>
      <c r="AF531" s="81">
        <v>0</v>
      </c>
      <c r="AG531" s="81">
        <f t="shared" si="663"/>
        <v>235.81568097157518</v>
      </c>
      <c r="AH531" s="64"/>
      <c r="AI531" s="64"/>
      <c r="AJ531" s="67">
        <v>102</v>
      </c>
      <c r="AK531" s="73" t="s">
        <v>66</v>
      </c>
      <c r="AL531" s="67">
        <v>13210</v>
      </c>
      <c r="AM531" s="72" t="s">
        <v>726</v>
      </c>
      <c r="AN531" s="72" t="s">
        <v>724</v>
      </c>
      <c r="AO531" s="138">
        <f t="shared" si="690"/>
        <v>51264.278472081562</v>
      </c>
      <c r="AP531" s="65">
        <f t="shared" si="691"/>
        <v>17088.092824027186</v>
      </c>
      <c r="AQ531" s="65">
        <f t="shared" si="692"/>
        <v>5126.427847208156</v>
      </c>
      <c r="AR531" s="65">
        <f t="shared" si="693"/>
        <v>0</v>
      </c>
      <c r="AS531" s="65">
        <f t="shared" si="694"/>
        <v>252.7</v>
      </c>
      <c r="AT531" s="65">
        <f t="shared" si="695"/>
        <v>8544.046412013593</v>
      </c>
      <c r="AU531" s="65">
        <f t="shared" si="696"/>
        <v>1708.8092824027185</v>
      </c>
      <c r="AV531" s="65">
        <f t="shared" si="697"/>
        <v>14205.3</v>
      </c>
      <c r="AW531" s="65">
        <f t="shared" si="698"/>
        <v>6262.1</v>
      </c>
      <c r="AX531" s="65">
        <f t="shared" si="699"/>
        <v>4058.3999999999996</v>
      </c>
      <c r="AY531" s="65">
        <f t="shared" si="700"/>
        <v>0</v>
      </c>
      <c r="AZ531" s="65">
        <f t="shared" si="701"/>
        <v>2358.1568097157519</v>
      </c>
      <c r="BB531" s="64"/>
      <c r="BC531" s="66"/>
      <c r="BD531" s="66"/>
      <c r="BE531" s="66"/>
    </row>
    <row r="532" spans="2:57" ht="21" customHeight="1" x14ac:dyDescent="0.2">
      <c r="B532" s="67">
        <v>103</v>
      </c>
      <c r="C532" s="73" t="s">
        <v>66</v>
      </c>
      <c r="D532" s="67">
        <v>13173</v>
      </c>
      <c r="E532" s="72" t="s">
        <v>727</v>
      </c>
      <c r="F532" s="72" t="s">
        <v>724</v>
      </c>
      <c r="G532" s="55">
        <v>38368</v>
      </c>
      <c r="H532" s="55" t="str">
        <f t="shared" si="650"/>
        <v>19 AÑOS</v>
      </c>
      <c r="I532" s="57">
        <v>3170.3326204132072</v>
      </c>
      <c r="J532" s="57"/>
      <c r="K532" s="57"/>
      <c r="L532" s="74"/>
      <c r="M532" s="171">
        <v>7.7999999999999999E-4</v>
      </c>
      <c r="N532" s="81">
        <f t="shared" si="689"/>
        <v>247.28594439223016</v>
      </c>
      <c r="O532" s="57">
        <f t="shared" si="652"/>
        <v>3417.6185648054375</v>
      </c>
      <c r="P532" s="81">
        <f t="shared" si="653"/>
        <v>6835.2371296108749</v>
      </c>
      <c r="Q532" s="81">
        <f t="shared" si="654"/>
        <v>5126.427847208156</v>
      </c>
      <c r="R532" s="81">
        <f t="shared" si="655"/>
        <v>1708.8092824027187</v>
      </c>
      <c r="S532" s="81">
        <f t="shared" si="656"/>
        <v>227.84123765369583</v>
      </c>
      <c r="T532" s="57">
        <f t="shared" si="657"/>
        <v>261.53895670267741</v>
      </c>
      <c r="U532" s="81">
        <f t="shared" si="658"/>
        <v>2563.213923604078</v>
      </c>
      <c r="V532" s="57">
        <f t="shared" si="659"/>
        <v>854.40464120135937</v>
      </c>
      <c r="W532" s="101">
        <v>7.4999999999999997E-2</v>
      </c>
      <c r="X532" s="158">
        <f t="shared" si="660"/>
        <v>512.6427847208156</v>
      </c>
      <c r="Y532" s="81">
        <v>0</v>
      </c>
      <c r="Z532" s="81">
        <v>25.27</v>
      </c>
      <c r="AA532" s="81">
        <f t="shared" si="661"/>
        <v>854.40464120135937</v>
      </c>
      <c r="AB532" s="81">
        <f t="shared" si="662"/>
        <v>170.88092824027186</v>
      </c>
      <c r="AC532" s="81">
        <v>1420.53</v>
      </c>
      <c r="AD532" s="81">
        <v>626.21</v>
      </c>
      <c r="AE532" s="81">
        <v>405.84</v>
      </c>
      <c r="AF532" s="81">
        <v>0</v>
      </c>
      <c r="AG532" s="81">
        <f t="shared" si="663"/>
        <v>235.81568097157518</v>
      </c>
      <c r="AH532" s="64"/>
      <c r="AI532" s="64"/>
      <c r="AJ532" s="67">
        <v>103</v>
      </c>
      <c r="AK532" s="73" t="s">
        <v>66</v>
      </c>
      <c r="AL532" s="67">
        <v>13173</v>
      </c>
      <c r="AM532" s="72" t="s">
        <v>727</v>
      </c>
      <c r="AN532" s="72" t="s">
        <v>724</v>
      </c>
      <c r="AO532" s="138">
        <f t="shared" si="690"/>
        <v>51264.278472081562</v>
      </c>
      <c r="AP532" s="65">
        <f t="shared" si="691"/>
        <v>17088.092824027186</v>
      </c>
      <c r="AQ532" s="65">
        <f t="shared" si="692"/>
        <v>5126.427847208156</v>
      </c>
      <c r="AR532" s="65">
        <f t="shared" si="693"/>
        <v>0</v>
      </c>
      <c r="AS532" s="65">
        <f t="shared" si="694"/>
        <v>252.7</v>
      </c>
      <c r="AT532" s="65">
        <f t="shared" si="695"/>
        <v>8544.046412013593</v>
      </c>
      <c r="AU532" s="65">
        <f t="shared" si="696"/>
        <v>1708.8092824027185</v>
      </c>
      <c r="AV532" s="65">
        <f t="shared" si="697"/>
        <v>14205.3</v>
      </c>
      <c r="AW532" s="65">
        <f t="shared" si="698"/>
        <v>6262.1</v>
      </c>
      <c r="AX532" s="65">
        <f t="shared" si="699"/>
        <v>4058.3999999999996</v>
      </c>
      <c r="AY532" s="65">
        <f t="shared" si="700"/>
        <v>0</v>
      </c>
      <c r="AZ532" s="65">
        <f t="shared" si="701"/>
        <v>2358.1568097157519</v>
      </c>
      <c r="BB532" s="64"/>
      <c r="BC532" s="66"/>
      <c r="BD532" s="66"/>
      <c r="BE532" s="66"/>
    </row>
    <row r="533" spans="2:57" ht="21" customHeight="1" x14ac:dyDescent="0.2">
      <c r="B533" s="67">
        <v>104</v>
      </c>
      <c r="C533" s="73" t="s">
        <v>66</v>
      </c>
      <c r="D533" s="67">
        <v>13110</v>
      </c>
      <c r="E533" s="72" t="s">
        <v>728</v>
      </c>
      <c r="F533" s="72" t="s">
        <v>724</v>
      </c>
      <c r="G533" s="55">
        <v>36892</v>
      </c>
      <c r="H533" s="55" t="str">
        <f t="shared" si="650"/>
        <v>23 AÑOS</v>
      </c>
      <c r="I533" s="57">
        <v>3170.3326204132072</v>
      </c>
      <c r="J533" s="57"/>
      <c r="K533" s="57"/>
      <c r="L533" s="74"/>
      <c r="M533" s="171">
        <v>7.7999999999999999E-4</v>
      </c>
      <c r="N533" s="81">
        <f t="shared" si="689"/>
        <v>247.28594439223016</v>
      </c>
      <c r="O533" s="57">
        <f t="shared" si="652"/>
        <v>3417.6185648054375</v>
      </c>
      <c r="P533" s="81">
        <f t="shared" si="653"/>
        <v>6835.2371296108749</v>
      </c>
      <c r="Q533" s="81">
        <f t="shared" si="654"/>
        <v>5126.427847208156</v>
      </c>
      <c r="R533" s="81">
        <f t="shared" si="655"/>
        <v>1708.8092824027187</v>
      </c>
      <c r="S533" s="81">
        <f t="shared" si="656"/>
        <v>227.84123765369583</v>
      </c>
      <c r="T533" s="57">
        <f t="shared" si="657"/>
        <v>261.53895670267741</v>
      </c>
      <c r="U533" s="81">
        <f t="shared" si="658"/>
        <v>2563.213923604078</v>
      </c>
      <c r="V533" s="57">
        <f t="shared" si="659"/>
        <v>854.40464120135937</v>
      </c>
      <c r="W533" s="101">
        <v>7.4999999999999997E-2</v>
      </c>
      <c r="X533" s="158">
        <f t="shared" si="660"/>
        <v>512.6427847208156</v>
      </c>
      <c r="Y533" s="81">
        <v>0</v>
      </c>
      <c r="Z533" s="81">
        <v>25.27</v>
      </c>
      <c r="AA533" s="81">
        <f t="shared" si="661"/>
        <v>854.40464120135937</v>
      </c>
      <c r="AB533" s="81">
        <f t="shared" si="662"/>
        <v>170.88092824027186</v>
      </c>
      <c r="AC533" s="81">
        <v>1420.53</v>
      </c>
      <c r="AD533" s="81">
        <v>626.21</v>
      </c>
      <c r="AE533" s="81">
        <v>405.84</v>
      </c>
      <c r="AF533" s="81">
        <v>0</v>
      </c>
      <c r="AG533" s="81">
        <f t="shared" si="663"/>
        <v>235.81568097157518</v>
      </c>
      <c r="AH533" s="64"/>
      <c r="AI533" s="64"/>
      <c r="AJ533" s="67">
        <v>104</v>
      </c>
      <c r="AK533" s="73" t="s">
        <v>66</v>
      </c>
      <c r="AL533" s="67">
        <v>13110</v>
      </c>
      <c r="AM533" s="72" t="s">
        <v>728</v>
      </c>
      <c r="AN533" s="72" t="s">
        <v>724</v>
      </c>
      <c r="AO533" s="138">
        <f t="shared" si="690"/>
        <v>51264.278472081562</v>
      </c>
      <c r="AP533" s="65">
        <f t="shared" si="691"/>
        <v>17088.092824027186</v>
      </c>
      <c r="AQ533" s="65">
        <f t="shared" si="692"/>
        <v>5126.427847208156</v>
      </c>
      <c r="AR533" s="65">
        <f t="shared" si="693"/>
        <v>0</v>
      </c>
      <c r="AS533" s="65">
        <f t="shared" si="694"/>
        <v>252.7</v>
      </c>
      <c r="AT533" s="65">
        <f t="shared" si="695"/>
        <v>8544.046412013593</v>
      </c>
      <c r="AU533" s="65">
        <f t="shared" si="696"/>
        <v>1708.8092824027185</v>
      </c>
      <c r="AV533" s="65">
        <f t="shared" si="697"/>
        <v>14205.3</v>
      </c>
      <c r="AW533" s="65">
        <f t="shared" si="698"/>
        <v>6262.1</v>
      </c>
      <c r="AX533" s="65">
        <f t="shared" si="699"/>
        <v>4058.3999999999996</v>
      </c>
      <c r="AY533" s="65">
        <f t="shared" si="700"/>
        <v>0</v>
      </c>
      <c r="AZ533" s="65">
        <f t="shared" si="701"/>
        <v>2358.1568097157519</v>
      </c>
      <c r="BB533" s="64"/>
      <c r="BC533" s="66"/>
      <c r="BD533" s="66"/>
      <c r="BE533" s="66"/>
    </row>
    <row r="534" spans="2:57" ht="21" customHeight="1" x14ac:dyDescent="0.2">
      <c r="B534" s="67">
        <v>105</v>
      </c>
      <c r="C534" s="73" t="s">
        <v>66</v>
      </c>
      <c r="D534" s="67">
        <v>13350</v>
      </c>
      <c r="E534" s="72" t="s">
        <v>729</v>
      </c>
      <c r="F534" s="72" t="s">
        <v>724</v>
      </c>
      <c r="G534" s="55">
        <v>43647</v>
      </c>
      <c r="H534" s="55" t="str">
        <f t="shared" si="650"/>
        <v>5 AÑOS</v>
      </c>
      <c r="I534" s="57">
        <v>3170.3326204132072</v>
      </c>
      <c r="J534" s="57"/>
      <c r="K534" s="57"/>
      <c r="L534" s="74"/>
      <c r="M534" s="171">
        <v>7.7999999999999999E-4</v>
      </c>
      <c r="N534" s="81">
        <f t="shared" si="689"/>
        <v>247.28594439223016</v>
      </c>
      <c r="O534" s="57">
        <f t="shared" si="652"/>
        <v>3417.6185648054375</v>
      </c>
      <c r="P534" s="81">
        <f t="shared" si="653"/>
        <v>6835.2371296108749</v>
      </c>
      <c r="Q534" s="81">
        <f t="shared" si="654"/>
        <v>5126.427847208156</v>
      </c>
      <c r="R534" s="81">
        <f t="shared" si="655"/>
        <v>1708.8092824027187</v>
      </c>
      <c r="S534" s="81">
        <f t="shared" si="656"/>
        <v>227.84123765369583</v>
      </c>
      <c r="T534" s="57">
        <f t="shared" si="657"/>
        <v>261.53895670267741</v>
      </c>
      <c r="U534" s="81">
        <f t="shared" si="658"/>
        <v>2563.213923604078</v>
      </c>
      <c r="V534" s="57">
        <f t="shared" si="659"/>
        <v>854.40464120135937</v>
      </c>
      <c r="W534" s="101">
        <v>2.5000000000000001E-2</v>
      </c>
      <c r="X534" s="158">
        <f t="shared" si="660"/>
        <v>170.88092824027188</v>
      </c>
      <c r="Y534" s="81">
        <v>0</v>
      </c>
      <c r="Z534" s="81">
        <v>25.27</v>
      </c>
      <c r="AA534" s="81">
        <f t="shared" si="661"/>
        <v>854.40464120135937</v>
      </c>
      <c r="AB534" s="81">
        <f t="shared" si="662"/>
        <v>170.88092824027186</v>
      </c>
      <c r="AC534" s="81">
        <v>1420.53</v>
      </c>
      <c r="AD534" s="81">
        <v>626.21</v>
      </c>
      <c r="AE534" s="81">
        <v>405.84</v>
      </c>
      <c r="AF534" s="81">
        <v>0</v>
      </c>
      <c r="AG534" s="81">
        <f t="shared" si="663"/>
        <v>235.81568097157518</v>
      </c>
      <c r="AH534" s="64"/>
      <c r="AI534" s="64"/>
      <c r="AJ534" s="67">
        <v>105</v>
      </c>
      <c r="AK534" s="73" t="s">
        <v>66</v>
      </c>
      <c r="AL534" s="67">
        <v>13350</v>
      </c>
      <c r="AM534" s="72" t="s">
        <v>729</v>
      </c>
      <c r="AN534" s="72" t="s">
        <v>724</v>
      </c>
      <c r="AO534" s="138">
        <f t="shared" si="690"/>
        <v>51264.278472081562</v>
      </c>
      <c r="AP534" s="65">
        <f t="shared" si="691"/>
        <v>17088.092824027186</v>
      </c>
      <c r="AQ534" s="65">
        <f t="shared" si="692"/>
        <v>1708.809282402719</v>
      </c>
      <c r="AR534" s="65">
        <f t="shared" si="693"/>
        <v>0</v>
      </c>
      <c r="AS534" s="65">
        <f t="shared" si="694"/>
        <v>252.7</v>
      </c>
      <c r="AT534" s="65">
        <f t="shared" si="695"/>
        <v>8544.046412013593</v>
      </c>
      <c r="AU534" s="65">
        <f t="shared" si="696"/>
        <v>1708.8092824027185</v>
      </c>
      <c r="AV534" s="65">
        <f t="shared" si="697"/>
        <v>14205.3</v>
      </c>
      <c r="AW534" s="65">
        <f t="shared" si="698"/>
        <v>6262.1</v>
      </c>
      <c r="AX534" s="65">
        <f t="shared" si="699"/>
        <v>4058.3999999999996</v>
      </c>
      <c r="AY534" s="65">
        <f t="shared" si="700"/>
        <v>0</v>
      </c>
      <c r="AZ534" s="65">
        <f t="shared" si="701"/>
        <v>2358.1568097157519</v>
      </c>
      <c r="BB534" s="64"/>
      <c r="BC534" s="66"/>
      <c r="BD534" s="66"/>
      <c r="BE534" s="66"/>
    </row>
    <row r="535" spans="2:57" ht="21" customHeight="1" x14ac:dyDescent="0.2">
      <c r="B535" s="67">
        <v>106</v>
      </c>
      <c r="C535" s="73" t="s">
        <v>66</v>
      </c>
      <c r="D535" s="67">
        <v>13331</v>
      </c>
      <c r="E535" s="73" t="s">
        <v>730</v>
      </c>
      <c r="F535" s="72" t="s">
        <v>724</v>
      </c>
      <c r="G535" s="55">
        <v>42795</v>
      </c>
      <c r="H535" s="55" t="str">
        <f xml:space="preserve"> CONCATENATE(DATEDIF(G535,H$5,"Y")," AÑOS")</f>
        <v>7 AÑOS</v>
      </c>
      <c r="I535" s="57">
        <v>3170.3326204132072</v>
      </c>
      <c r="J535" s="57"/>
      <c r="K535" s="57"/>
      <c r="L535" s="74"/>
      <c r="M535" s="171">
        <v>7.7999999999999999E-4</v>
      </c>
      <c r="N535" s="81">
        <f t="shared" si="689"/>
        <v>247.28594439223016</v>
      </c>
      <c r="O535" s="57">
        <f t="shared" si="652"/>
        <v>3417.6185648054375</v>
      </c>
      <c r="P535" s="81">
        <f t="shared" si="653"/>
        <v>6835.2371296108749</v>
      </c>
      <c r="Q535" s="81">
        <f t="shared" si="654"/>
        <v>5126.427847208156</v>
      </c>
      <c r="R535" s="81">
        <f t="shared" si="655"/>
        <v>1708.8092824027187</v>
      </c>
      <c r="S535" s="81">
        <f t="shared" si="656"/>
        <v>227.84123765369583</v>
      </c>
      <c r="T535" s="57">
        <f t="shared" si="657"/>
        <v>261.53895670267741</v>
      </c>
      <c r="U535" s="81">
        <f t="shared" si="658"/>
        <v>2563.213923604078</v>
      </c>
      <c r="V535" s="57">
        <f t="shared" si="659"/>
        <v>854.40464120135937</v>
      </c>
      <c r="W535" s="101">
        <v>7.4999999999999997E-2</v>
      </c>
      <c r="X535" s="158">
        <f t="shared" si="660"/>
        <v>512.6427847208156</v>
      </c>
      <c r="Y535" s="81">
        <v>0</v>
      </c>
      <c r="Z535" s="81">
        <v>25.27</v>
      </c>
      <c r="AA535" s="81">
        <f t="shared" si="661"/>
        <v>854.40464120135937</v>
      </c>
      <c r="AB535" s="81">
        <f t="shared" si="662"/>
        <v>170.88092824027186</v>
      </c>
      <c r="AC535" s="81">
        <v>1420.53</v>
      </c>
      <c r="AD535" s="81">
        <v>626.21</v>
      </c>
      <c r="AE535" s="81">
        <v>405.84</v>
      </c>
      <c r="AF535" s="81">
        <v>0</v>
      </c>
      <c r="AG535" s="81">
        <f t="shared" si="663"/>
        <v>235.81568097157518</v>
      </c>
      <c r="AH535" s="64"/>
      <c r="AI535" s="64"/>
      <c r="AJ535" s="67">
        <v>106</v>
      </c>
      <c r="AK535" s="73" t="s">
        <v>66</v>
      </c>
      <c r="AL535" s="67">
        <v>13331</v>
      </c>
      <c r="AM535" s="73" t="s">
        <v>730</v>
      </c>
      <c r="AN535" s="72" t="s">
        <v>724</v>
      </c>
      <c r="AO535" s="138">
        <f t="shared" si="690"/>
        <v>51264.278472081562</v>
      </c>
      <c r="AP535" s="65">
        <f t="shared" si="691"/>
        <v>17088.092824027186</v>
      </c>
      <c r="AQ535" s="65">
        <f t="shared" si="692"/>
        <v>5126.427847208156</v>
      </c>
      <c r="AR535" s="65">
        <f t="shared" si="693"/>
        <v>0</v>
      </c>
      <c r="AS535" s="65">
        <f t="shared" si="694"/>
        <v>252.7</v>
      </c>
      <c r="AT535" s="65">
        <f t="shared" si="695"/>
        <v>8544.046412013593</v>
      </c>
      <c r="AU535" s="65">
        <f t="shared" si="696"/>
        <v>1708.8092824027185</v>
      </c>
      <c r="AV535" s="65">
        <f t="shared" si="697"/>
        <v>14205.3</v>
      </c>
      <c r="AW535" s="65">
        <f t="shared" si="698"/>
        <v>6262.1</v>
      </c>
      <c r="AX535" s="65">
        <f t="shared" si="699"/>
        <v>4058.3999999999996</v>
      </c>
      <c r="AY535" s="65">
        <f t="shared" si="700"/>
        <v>0</v>
      </c>
      <c r="AZ535" s="65">
        <f t="shared" si="701"/>
        <v>2358.1568097157519</v>
      </c>
      <c r="BB535" s="64"/>
      <c r="BC535" s="66"/>
      <c r="BD535" s="66"/>
      <c r="BE535" s="66"/>
    </row>
    <row r="536" spans="2:57" ht="21" customHeight="1" x14ac:dyDescent="0.2">
      <c r="B536" s="67">
        <v>107</v>
      </c>
      <c r="C536" s="73" t="s">
        <v>66</v>
      </c>
      <c r="D536" s="67">
        <v>13077</v>
      </c>
      <c r="E536" s="72" t="s">
        <v>731</v>
      </c>
      <c r="F536" s="72" t="s">
        <v>724</v>
      </c>
      <c r="G536" s="55">
        <v>37257</v>
      </c>
      <c r="H536" s="55" t="str">
        <f t="shared" si="650"/>
        <v>22 AÑOS</v>
      </c>
      <c r="I536" s="57">
        <v>3170.3326204132072</v>
      </c>
      <c r="J536" s="57"/>
      <c r="K536" s="57"/>
      <c r="L536" s="74"/>
      <c r="M536" s="171">
        <v>7.7999999999999999E-4</v>
      </c>
      <c r="N536" s="81">
        <f t="shared" si="689"/>
        <v>247.28594439223016</v>
      </c>
      <c r="O536" s="57">
        <f t="shared" si="652"/>
        <v>3417.6185648054375</v>
      </c>
      <c r="P536" s="81">
        <f t="shared" si="653"/>
        <v>6835.2371296108749</v>
      </c>
      <c r="Q536" s="81">
        <f t="shared" si="654"/>
        <v>5126.427847208156</v>
      </c>
      <c r="R536" s="81">
        <f t="shared" si="655"/>
        <v>1708.8092824027187</v>
      </c>
      <c r="S536" s="81">
        <f t="shared" si="656"/>
        <v>227.84123765369583</v>
      </c>
      <c r="T536" s="57">
        <f t="shared" si="657"/>
        <v>261.53895670267741</v>
      </c>
      <c r="U536" s="81">
        <f t="shared" si="658"/>
        <v>2563.213923604078</v>
      </c>
      <c r="V536" s="57">
        <f t="shared" si="659"/>
        <v>854.40464120135937</v>
      </c>
      <c r="W536" s="101">
        <v>7.4999999999999997E-2</v>
      </c>
      <c r="X536" s="158">
        <f t="shared" si="660"/>
        <v>512.6427847208156</v>
      </c>
      <c r="Y536" s="81">
        <v>0</v>
      </c>
      <c r="Z536" s="81">
        <v>25.27</v>
      </c>
      <c r="AA536" s="81">
        <f t="shared" si="661"/>
        <v>854.40464120135937</v>
      </c>
      <c r="AB536" s="81">
        <f t="shared" si="662"/>
        <v>170.88092824027186</v>
      </c>
      <c r="AC536" s="81">
        <v>1420.53</v>
      </c>
      <c r="AD536" s="81">
        <v>626.21</v>
      </c>
      <c r="AE536" s="81">
        <v>405.84</v>
      </c>
      <c r="AF536" s="81">
        <v>0</v>
      </c>
      <c r="AG536" s="81">
        <f t="shared" si="663"/>
        <v>235.81568097157518</v>
      </c>
      <c r="AH536" s="64"/>
      <c r="AI536" s="64"/>
      <c r="AJ536" s="67">
        <v>107</v>
      </c>
      <c r="AK536" s="73" t="s">
        <v>66</v>
      </c>
      <c r="AL536" s="67">
        <v>13077</v>
      </c>
      <c r="AM536" s="72" t="s">
        <v>731</v>
      </c>
      <c r="AN536" s="72" t="s">
        <v>724</v>
      </c>
      <c r="AO536" s="138">
        <f t="shared" si="690"/>
        <v>51264.278472081562</v>
      </c>
      <c r="AP536" s="65">
        <f t="shared" si="691"/>
        <v>17088.092824027186</v>
      </c>
      <c r="AQ536" s="65">
        <f t="shared" si="692"/>
        <v>5126.427847208156</v>
      </c>
      <c r="AR536" s="65">
        <f t="shared" si="693"/>
        <v>0</v>
      </c>
      <c r="AS536" s="65">
        <f t="shared" si="694"/>
        <v>252.7</v>
      </c>
      <c r="AT536" s="65">
        <f t="shared" si="695"/>
        <v>8544.046412013593</v>
      </c>
      <c r="AU536" s="65">
        <f t="shared" si="696"/>
        <v>1708.8092824027185</v>
      </c>
      <c r="AV536" s="65">
        <f t="shared" si="697"/>
        <v>14205.3</v>
      </c>
      <c r="AW536" s="65">
        <f t="shared" si="698"/>
        <v>6262.1</v>
      </c>
      <c r="AX536" s="65">
        <f t="shared" si="699"/>
        <v>4058.3999999999996</v>
      </c>
      <c r="AY536" s="65">
        <f t="shared" si="700"/>
        <v>0</v>
      </c>
      <c r="AZ536" s="65">
        <f t="shared" si="701"/>
        <v>2358.1568097157519</v>
      </c>
      <c r="BB536" s="64"/>
      <c r="BC536" s="66"/>
      <c r="BD536" s="66"/>
      <c r="BE536" s="66"/>
    </row>
    <row r="537" spans="2:57" ht="21" customHeight="1" x14ac:dyDescent="0.2">
      <c r="B537" s="67">
        <v>108</v>
      </c>
      <c r="C537" s="73" t="s">
        <v>66</v>
      </c>
      <c r="D537" s="67">
        <v>13111</v>
      </c>
      <c r="E537" s="72" t="s">
        <v>732</v>
      </c>
      <c r="F537" s="72" t="s">
        <v>724</v>
      </c>
      <c r="G537" s="55">
        <v>36892</v>
      </c>
      <c r="H537" s="55" t="str">
        <f t="shared" si="650"/>
        <v>23 AÑOS</v>
      </c>
      <c r="I537" s="57">
        <v>3170.3326204132072</v>
      </c>
      <c r="J537" s="57"/>
      <c r="K537" s="57"/>
      <c r="L537" s="74"/>
      <c r="M537" s="171">
        <v>7.7999999999999999E-4</v>
      </c>
      <c r="N537" s="81">
        <f t="shared" si="689"/>
        <v>247.28594439223016</v>
      </c>
      <c r="O537" s="57">
        <f t="shared" si="652"/>
        <v>3417.6185648054375</v>
      </c>
      <c r="P537" s="81">
        <f t="shared" si="653"/>
        <v>6835.2371296108749</v>
      </c>
      <c r="Q537" s="81">
        <f t="shared" si="654"/>
        <v>5126.427847208156</v>
      </c>
      <c r="R537" s="81">
        <f t="shared" si="655"/>
        <v>1708.8092824027187</v>
      </c>
      <c r="S537" s="81">
        <f t="shared" si="656"/>
        <v>227.84123765369583</v>
      </c>
      <c r="T537" s="57">
        <f t="shared" si="657"/>
        <v>261.53895670267741</v>
      </c>
      <c r="U537" s="81">
        <f t="shared" si="658"/>
        <v>2563.213923604078</v>
      </c>
      <c r="V537" s="57">
        <f t="shared" si="659"/>
        <v>854.40464120135937</v>
      </c>
      <c r="W537" s="101">
        <v>7.4999999999999997E-2</v>
      </c>
      <c r="X537" s="158">
        <f t="shared" si="660"/>
        <v>512.6427847208156</v>
      </c>
      <c r="Y537" s="81">
        <v>0</v>
      </c>
      <c r="Z537" s="81">
        <v>25.27</v>
      </c>
      <c r="AA537" s="81">
        <f t="shared" si="661"/>
        <v>854.40464120135937</v>
      </c>
      <c r="AB537" s="81">
        <f t="shared" si="662"/>
        <v>170.88092824027186</v>
      </c>
      <c r="AC537" s="81">
        <v>1420.53</v>
      </c>
      <c r="AD537" s="81">
        <v>626.21</v>
      </c>
      <c r="AE537" s="81">
        <v>405.84</v>
      </c>
      <c r="AF537" s="81">
        <v>0</v>
      </c>
      <c r="AG537" s="81">
        <f t="shared" si="663"/>
        <v>235.81568097157518</v>
      </c>
      <c r="AH537" s="64"/>
      <c r="AI537" s="64"/>
      <c r="AJ537" s="67">
        <v>108</v>
      </c>
      <c r="AK537" s="73" t="s">
        <v>66</v>
      </c>
      <c r="AL537" s="67">
        <v>13111</v>
      </c>
      <c r="AM537" s="72" t="s">
        <v>732</v>
      </c>
      <c r="AN537" s="72" t="s">
        <v>724</v>
      </c>
      <c r="AO537" s="138">
        <f t="shared" si="690"/>
        <v>51264.278472081562</v>
      </c>
      <c r="AP537" s="65">
        <f t="shared" si="691"/>
        <v>17088.092824027186</v>
      </c>
      <c r="AQ537" s="65">
        <f t="shared" si="692"/>
        <v>5126.427847208156</v>
      </c>
      <c r="AR537" s="65">
        <f t="shared" si="693"/>
        <v>0</v>
      </c>
      <c r="AS537" s="65">
        <f t="shared" si="694"/>
        <v>252.7</v>
      </c>
      <c r="AT537" s="65">
        <f t="shared" si="695"/>
        <v>8544.046412013593</v>
      </c>
      <c r="AU537" s="65">
        <f t="shared" si="696"/>
        <v>1708.8092824027185</v>
      </c>
      <c r="AV537" s="65">
        <f t="shared" si="697"/>
        <v>14205.3</v>
      </c>
      <c r="AW537" s="65">
        <f t="shared" si="698"/>
        <v>6262.1</v>
      </c>
      <c r="AX537" s="65">
        <f t="shared" si="699"/>
        <v>4058.3999999999996</v>
      </c>
      <c r="AY537" s="65">
        <f t="shared" si="700"/>
        <v>0</v>
      </c>
      <c r="AZ537" s="65">
        <f t="shared" si="701"/>
        <v>2358.1568097157519</v>
      </c>
      <c r="BB537" s="64"/>
      <c r="BC537" s="66"/>
      <c r="BD537" s="66"/>
      <c r="BE537" s="66"/>
    </row>
    <row r="538" spans="2:57" ht="21" customHeight="1" x14ac:dyDescent="0.2">
      <c r="B538" s="67">
        <v>109</v>
      </c>
      <c r="C538" s="73" t="s">
        <v>66</v>
      </c>
      <c r="D538" s="67">
        <v>13368</v>
      </c>
      <c r="E538" s="72" t="s">
        <v>733</v>
      </c>
      <c r="F538" s="72" t="s">
        <v>724</v>
      </c>
      <c r="G538" s="123">
        <v>44090</v>
      </c>
      <c r="H538" s="56" t="str">
        <f t="shared" si="650"/>
        <v>4 AÑOS</v>
      </c>
      <c r="I538" s="57">
        <v>3170.3326204132072</v>
      </c>
      <c r="J538" s="58"/>
      <c r="K538" s="58"/>
      <c r="L538" s="59"/>
      <c r="M538" s="60">
        <v>7.7999999999999999E-4</v>
      </c>
      <c r="N538" s="61">
        <f t="shared" si="689"/>
        <v>247.28594439223016</v>
      </c>
      <c r="O538" s="58">
        <f t="shared" si="652"/>
        <v>3417.6185648054375</v>
      </c>
      <c r="P538" s="61">
        <f t="shared" si="653"/>
        <v>6835.2371296108749</v>
      </c>
      <c r="Q538" s="61">
        <f t="shared" si="654"/>
        <v>5126.427847208156</v>
      </c>
      <c r="R538" s="61">
        <f t="shared" si="655"/>
        <v>1708.8092824027187</v>
      </c>
      <c r="S538" s="61">
        <f t="shared" si="656"/>
        <v>227.84123765369583</v>
      </c>
      <c r="T538" s="58">
        <f t="shared" si="657"/>
        <v>261.53895670267741</v>
      </c>
      <c r="U538" s="61">
        <f t="shared" si="658"/>
        <v>2563.213923604078</v>
      </c>
      <c r="V538" s="58">
        <f t="shared" si="659"/>
        <v>854.40464120135937</v>
      </c>
      <c r="W538" s="101">
        <v>0</v>
      </c>
      <c r="X538" s="63">
        <f t="shared" si="660"/>
        <v>0</v>
      </c>
      <c r="Y538" s="61">
        <v>0</v>
      </c>
      <c r="Z538" s="61">
        <v>25.27</v>
      </c>
      <c r="AA538" s="61">
        <f t="shared" si="661"/>
        <v>854.40464120135937</v>
      </c>
      <c r="AB538" s="61">
        <f t="shared" si="662"/>
        <v>170.88092824027186</v>
      </c>
      <c r="AC538" s="61">
        <v>1420.53</v>
      </c>
      <c r="AD538" s="61">
        <v>626.21</v>
      </c>
      <c r="AE538" s="61">
        <v>405.84</v>
      </c>
      <c r="AF538" s="61">
        <v>0</v>
      </c>
      <c r="AG538" s="61">
        <f t="shared" si="663"/>
        <v>235.81568097157518</v>
      </c>
      <c r="AH538" s="64"/>
      <c r="AI538" s="64"/>
      <c r="AJ538" s="67">
        <v>109</v>
      </c>
      <c r="AK538" s="73" t="s">
        <v>66</v>
      </c>
      <c r="AL538" s="67">
        <v>13368</v>
      </c>
      <c r="AM538" s="72" t="s">
        <v>733</v>
      </c>
      <c r="AN538" s="72" t="s">
        <v>724</v>
      </c>
      <c r="AO538" s="138">
        <f t="shared" si="690"/>
        <v>51264.278472081562</v>
      </c>
      <c r="AP538" s="65">
        <f t="shared" si="691"/>
        <v>17088.092824027186</v>
      </c>
      <c r="AQ538" s="65">
        <f t="shared" si="692"/>
        <v>0</v>
      </c>
      <c r="AR538" s="65">
        <f t="shared" si="693"/>
        <v>0</v>
      </c>
      <c r="AS538" s="65">
        <f t="shared" si="694"/>
        <v>252.7</v>
      </c>
      <c r="AT538" s="65">
        <f t="shared" si="695"/>
        <v>8544.046412013593</v>
      </c>
      <c r="AU538" s="65">
        <f t="shared" si="696"/>
        <v>1708.8092824027185</v>
      </c>
      <c r="AV538" s="65">
        <f t="shared" si="697"/>
        <v>14205.3</v>
      </c>
      <c r="AW538" s="65">
        <f t="shared" si="698"/>
        <v>6262.1</v>
      </c>
      <c r="AX538" s="65">
        <f t="shared" si="699"/>
        <v>4058.3999999999996</v>
      </c>
      <c r="AY538" s="65">
        <f t="shared" si="700"/>
        <v>0</v>
      </c>
      <c r="AZ538" s="65">
        <f t="shared" si="701"/>
        <v>2358.1568097157519</v>
      </c>
      <c r="BB538" s="64"/>
      <c r="BC538" s="66"/>
      <c r="BD538" s="66"/>
      <c r="BE538" s="66"/>
    </row>
    <row r="539" spans="2:57" ht="21" customHeight="1" x14ac:dyDescent="0.2">
      <c r="B539" s="67">
        <v>110</v>
      </c>
      <c r="C539" s="73" t="s">
        <v>66</v>
      </c>
      <c r="D539" s="67">
        <v>13352</v>
      </c>
      <c r="E539" s="72" t="s">
        <v>734</v>
      </c>
      <c r="F539" s="72" t="s">
        <v>724</v>
      </c>
      <c r="G539" s="123">
        <v>43711</v>
      </c>
      <c r="H539" s="56" t="str">
        <f t="shared" si="650"/>
        <v>5 AÑOS</v>
      </c>
      <c r="I539" s="57">
        <v>3170.3326204132072</v>
      </c>
      <c r="J539" s="58"/>
      <c r="K539" s="58"/>
      <c r="L539" s="59"/>
      <c r="M539" s="60">
        <v>7.7999999999999999E-4</v>
      </c>
      <c r="N539" s="61">
        <f t="shared" si="689"/>
        <v>247.28594439223016</v>
      </c>
      <c r="O539" s="58">
        <f t="shared" si="652"/>
        <v>3417.6185648054375</v>
      </c>
      <c r="P539" s="61">
        <f t="shared" si="653"/>
        <v>6835.2371296108749</v>
      </c>
      <c r="Q539" s="61">
        <f t="shared" si="654"/>
        <v>5126.427847208156</v>
      </c>
      <c r="R539" s="61">
        <f t="shared" si="655"/>
        <v>1708.8092824027187</v>
      </c>
      <c r="S539" s="61">
        <f t="shared" si="656"/>
        <v>227.84123765369583</v>
      </c>
      <c r="T539" s="58">
        <f t="shared" si="657"/>
        <v>261.53895670267741</v>
      </c>
      <c r="U539" s="61">
        <f t="shared" si="658"/>
        <v>2563.213923604078</v>
      </c>
      <c r="V539" s="58">
        <f t="shared" si="659"/>
        <v>854.40464120135937</v>
      </c>
      <c r="W539" s="101">
        <v>2.5000000000000001E-2</v>
      </c>
      <c r="X539" s="63">
        <f t="shared" si="660"/>
        <v>170.88092824027188</v>
      </c>
      <c r="Y539" s="61">
        <v>0</v>
      </c>
      <c r="Z539" s="61">
        <v>25.27</v>
      </c>
      <c r="AA539" s="61">
        <f t="shared" si="661"/>
        <v>854.40464120135937</v>
      </c>
      <c r="AB539" s="61">
        <f t="shared" si="662"/>
        <v>170.88092824027186</v>
      </c>
      <c r="AC539" s="61">
        <v>1420.53</v>
      </c>
      <c r="AD539" s="61">
        <v>626.21</v>
      </c>
      <c r="AE539" s="61">
        <v>405.84</v>
      </c>
      <c r="AF539" s="61">
        <v>0</v>
      </c>
      <c r="AG539" s="61">
        <f t="shared" si="663"/>
        <v>235.81568097157518</v>
      </c>
      <c r="AH539" s="64"/>
      <c r="AI539" s="64"/>
      <c r="AJ539" s="67">
        <v>110</v>
      </c>
      <c r="AK539" s="73" t="s">
        <v>66</v>
      </c>
      <c r="AL539" s="67">
        <v>13352</v>
      </c>
      <c r="AM539" s="72" t="s">
        <v>734</v>
      </c>
      <c r="AN539" s="72" t="s">
        <v>724</v>
      </c>
      <c r="AO539" s="138">
        <f t="shared" si="690"/>
        <v>51264.278472081562</v>
      </c>
      <c r="AP539" s="65">
        <f t="shared" si="691"/>
        <v>17088.092824027186</v>
      </c>
      <c r="AQ539" s="65">
        <f t="shared" si="692"/>
        <v>1708.809282402719</v>
      </c>
      <c r="AR539" s="65">
        <f t="shared" si="693"/>
        <v>0</v>
      </c>
      <c r="AS539" s="65">
        <f t="shared" si="694"/>
        <v>252.7</v>
      </c>
      <c r="AT539" s="65">
        <f t="shared" si="695"/>
        <v>8544.046412013593</v>
      </c>
      <c r="AU539" s="65">
        <f t="shared" si="696"/>
        <v>1708.8092824027185</v>
      </c>
      <c r="AV539" s="65">
        <f t="shared" si="697"/>
        <v>14205.3</v>
      </c>
      <c r="AW539" s="65">
        <f t="shared" si="698"/>
        <v>6262.1</v>
      </c>
      <c r="AX539" s="65">
        <f t="shared" si="699"/>
        <v>4058.3999999999996</v>
      </c>
      <c r="AY539" s="65">
        <f t="shared" si="700"/>
        <v>0</v>
      </c>
      <c r="AZ539" s="65">
        <f t="shared" si="701"/>
        <v>2358.1568097157519</v>
      </c>
      <c r="BB539" s="64"/>
      <c r="BC539" s="66"/>
      <c r="BD539" s="66"/>
      <c r="BE539" s="66"/>
    </row>
    <row r="540" spans="2:57" ht="21" customHeight="1" x14ac:dyDescent="0.2">
      <c r="B540" s="67">
        <v>111</v>
      </c>
      <c r="C540" s="73" t="s">
        <v>66</v>
      </c>
      <c r="D540" s="67">
        <v>13384</v>
      </c>
      <c r="E540" s="73" t="s">
        <v>735</v>
      </c>
      <c r="F540" s="72" t="s">
        <v>724</v>
      </c>
      <c r="G540" s="123">
        <v>45017</v>
      </c>
      <c r="H540" s="56" t="str">
        <f t="shared" si="650"/>
        <v>1 AÑOS</v>
      </c>
      <c r="I540" s="57">
        <v>3170.3326204132072</v>
      </c>
      <c r="J540" s="58"/>
      <c r="K540" s="58"/>
      <c r="L540" s="59"/>
      <c r="M540" s="60">
        <v>7.7999999999999999E-4</v>
      </c>
      <c r="N540" s="61">
        <f t="shared" si="689"/>
        <v>247.28594439223016</v>
      </c>
      <c r="O540" s="58">
        <f t="shared" si="652"/>
        <v>3417.6185648054375</v>
      </c>
      <c r="P540" s="61">
        <f>O540*2</f>
        <v>6835.2371296108749</v>
      </c>
      <c r="Q540" s="61">
        <f>P540*0.75</f>
        <v>5126.427847208156</v>
      </c>
      <c r="R540" s="61">
        <f>P540*0.25</f>
        <v>1708.8092824027187</v>
      </c>
      <c r="S540" s="61">
        <f>(P540/30)</f>
        <v>227.84123765369583</v>
      </c>
      <c r="T540" s="58">
        <f t="shared" si="657"/>
        <v>261.53895670267741</v>
      </c>
      <c r="U540" s="61">
        <f>O540*0.75</f>
        <v>2563.213923604078</v>
      </c>
      <c r="V540" s="58">
        <f>O540*0.25</f>
        <v>854.40464120135937</v>
      </c>
      <c r="W540" s="101">
        <v>0</v>
      </c>
      <c r="X540" s="63">
        <f t="shared" si="660"/>
        <v>0</v>
      </c>
      <c r="Y540" s="61">
        <v>0</v>
      </c>
      <c r="Z540" s="61">
        <v>25.27</v>
      </c>
      <c r="AA540" s="61">
        <f t="shared" si="661"/>
        <v>854.40464120135937</v>
      </c>
      <c r="AB540" s="61">
        <f t="shared" si="662"/>
        <v>170.88092824027186</v>
      </c>
      <c r="AC540" s="61">
        <v>1420.53</v>
      </c>
      <c r="AD540" s="61">
        <v>626.21</v>
      </c>
      <c r="AE540" s="61">
        <v>405.84</v>
      </c>
      <c r="AF540" s="61">
        <v>0</v>
      </c>
      <c r="AG540" s="61">
        <f t="shared" si="663"/>
        <v>235.81568097157518</v>
      </c>
      <c r="AH540" s="64"/>
      <c r="AI540" s="64"/>
      <c r="AJ540" s="67">
        <v>111</v>
      </c>
      <c r="AK540" s="73" t="s">
        <v>66</v>
      </c>
      <c r="AL540" s="67">
        <v>13384</v>
      </c>
      <c r="AM540" s="73" t="s">
        <v>735</v>
      </c>
      <c r="AN540" s="72" t="s">
        <v>724</v>
      </c>
      <c r="AO540" s="138">
        <f t="shared" si="690"/>
        <v>51264.278472081562</v>
      </c>
      <c r="AP540" s="65">
        <f t="shared" si="691"/>
        <v>17088.092824027186</v>
      </c>
      <c r="AQ540" s="65">
        <f t="shared" si="692"/>
        <v>0</v>
      </c>
      <c r="AR540" s="65">
        <f t="shared" si="693"/>
        <v>0</v>
      </c>
      <c r="AS540" s="65">
        <f t="shared" si="694"/>
        <v>252.7</v>
      </c>
      <c r="AT540" s="65">
        <f t="shared" si="695"/>
        <v>8544.046412013593</v>
      </c>
      <c r="AU540" s="65">
        <f t="shared" si="696"/>
        <v>1708.8092824027185</v>
      </c>
      <c r="AV540" s="65">
        <f t="shared" si="697"/>
        <v>14205.3</v>
      </c>
      <c r="AW540" s="65">
        <f t="shared" si="698"/>
        <v>6262.1</v>
      </c>
      <c r="AX540" s="65">
        <f t="shared" si="699"/>
        <v>4058.3999999999996</v>
      </c>
      <c r="AY540" s="65">
        <f t="shared" si="700"/>
        <v>0</v>
      </c>
      <c r="AZ540" s="65">
        <f t="shared" si="701"/>
        <v>2358.1568097157519</v>
      </c>
      <c r="BB540" s="64"/>
      <c r="BC540" s="66"/>
      <c r="BD540" s="66"/>
      <c r="BE540" s="66"/>
    </row>
    <row r="541" spans="2:57" ht="21" customHeight="1" x14ac:dyDescent="0.2">
      <c r="B541" s="67">
        <v>112</v>
      </c>
      <c r="C541" s="73" t="s">
        <v>66</v>
      </c>
      <c r="D541" s="67">
        <v>13290</v>
      </c>
      <c r="E541" s="72" t="s">
        <v>736</v>
      </c>
      <c r="F541" s="72" t="s">
        <v>724</v>
      </c>
      <c r="G541" s="123">
        <v>42142</v>
      </c>
      <c r="H541" s="56" t="str">
        <f t="shared" si="650"/>
        <v>9 AÑOS</v>
      </c>
      <c r="I541" s="57">
        <v>3170.3326204132072</v>
      </c>
      <c r="J541" s="58"/>
      <c r="K541" s="58"/>
      <c r="L541" s="59"/>
      <c r="M541" s="60">
        <v>7.7999999999999999E-4</v>
      </c>
      <c r="N541" s="61">
        <f t="shared" si="689"/>
        <v>247.28594439223016</v>
      </c>
      <c r="O541" s="58">
        <f t="shared" si="652"/>
        <v>3417.6185648054375</v>
      </c>
      <c r="P541" s="61">
        <f t="shared" si="653"/>
        <v>6835.2371296108749</v>
      </c>
      <c r="Q541" s="61">
        <f t="shared" si="654"/>
        <v>5126.427847208156</v>
      </c>
      <c r="R541" s="61">
        <f t="shared" si="655"/>
        <v>1708.8092824027187</v>
      </c>
      <c r="S541" s="61">
        <f t="shared" si="656"/>
        <v>227.84123765369583</v>
      </c>
      <c r="T541" s="58">
        <f t="shared" si="657"/>
        <v>261.53895670267741</v>
      </c>
      <c r="U541" s="61">
        <f t="shared" si="658"/>
        <v>2563.213923604078</v>
      </c>
      <c r="V541" s="58">
        <f t="shared" si="659"/>
        <v>854.40464120135937</v>
      </c>
      <c r="W541" s="101">
        <v>2.5000000000000001E-2</v>
      </c>
      <c r="X541" s="63">
        <f t="shared" si="660"/>
        <v>170.88092824027188</v>
      </c>
      <c r="Y541" s="61">
        <v>0</v>
      </c>
      <c r="Z541" s="61">
        <v>25.27</v>
      </c>
      <c r="AA541" s="61">
        <f t="shared" si="661"/>
        <v>854.40464120135937</v>
      </c>
      <c r="AB541" s="61">
        <f t="shared" si="662"/>
        <v>170.88092824027186</v>
      </c>
      <c r="AC541" s="61">
        <v>1420.53</v>
      </c>
      <c r="AD541" s="61">
        <v>626.21</v>
      </c>
      <c r="AE541" s="61">
        <v>405.84</v>
      </c>
      <c r="AF541" s="61">
        <v>0</v>
      </c>
      <c r="AG541" s="61">
        <f t="shared" si="663"/>
        <v>235.81568097157518</v>
      </c>
      <c r="AH541" s="64"/>
      <c r="AI541" s="64"/>
      <c r="AJ541" s="67">
        <v>112</v>
      </c>
      <c r="AK541" s="73" t="s">
        <v>66</v>
      </c>
      <c r="AL541" s="67">
        <v>13290</v>
      </c>
      <c r="AM541" s="72" t="s">
        <v>736</v>
      </c>
      <c r="AN541" s="72" t="s">
        <v>724</v>
      </c>
      <c r="AO541" s="138">
        <f t="shared" si="690"/>
        <v>51264.278472081562</v>
      </c>
      <c r="AP541" s="65">
        <f t="shared" si="691"/>
        <v>17088.092824027186</v>
      </c>
      <c r="AQ541" s="65">
        <f t="shared" si="692"/>
        <v>1708.809282402719</v>
      </c>
      <c r="AR541" s="65">
        <f t="shared" si="693"/>
        <v>0</v>
      </c>
      <c r="AS541" s="65">
        <f t="shared" si="694"/>
        <v>252.7</v>
      </c>
      <c r="AT541" s="65">
        <f t="shared" si="695"/>
        <v>8544.046412013593</v>
      </c>
      <c r="AU541" s="65">
        <f t="shared" si="696"/>
        <v>1708.8092824027185</v>
      </c>
      <c r="AV541" s="65">
        <f t="shared" si="697"/>
        <v>14205.3</v>
      </c>
      <c r="AW541" s="65">
        <f t="shared" si="698"/>
        <v>6262.1</v>
      </c>
      <c r="AX541" s="65">
        <f t="shared" si="699"/>
        <v>4058.3999999999996</v>
      </c>
      <c r="AY541" s="65">
        <f t="shared" si="700"/>
        <v>0</v>
      </c>
      <c r="AZ541" s="65">
        <f t="shared" si="701"/>
        <v>2358.1568097157519</v>
      </c>
      <c r="BB541" s="64"/>
      <c r="BC541" s="66"/>
      <c r="BD541" s="66"/>
      <c r="BE541" s="66"/>
    </row>
    <row r="542" spans="2:57" ht="21" customHeight="1" x14ac:dyDescent="0.2">
      <c r="B542" s="67">
        <v>113</v>
      </c>
      <c r="C542" s="73" t="s">
        <v>66</v>
      </c>
      <c r="D542" s="67">
        <v>13382</v>
      </c>
      <c r="E542" s="72" t="s">
        <v>737</v>
      </c>
      <c r="F542" s="72" t="s">
        <v>724</v>
      </c>
      <c r="G542" s="123">
        <v>44805</v>
      </c>
      <c r="H542" s="56" t="str">
        <f t="shared" si="650"/>
        <v>2 AÑOS</v>
      </c>
      <c r="I542" s="57">
        <v>3170.3326204132072</v>
      </c>
      <c r="J542" s="58"/>
      <c r="K542" s="58"/>
      <c r="L542" s="59"/>
      <c r="M542" s="60">
        <v>7.7999999999999999E-4</v>
      </c>
      <c r="N542" s="61">
        <f t="shared" si="689"/>
        <v>247.28594439223016</v>
      </c>
      <c r="O542" s="58">
        <f t="shared" si="652"/>
        <v>3417.6185648054375</v>
      </c>
      <c r="P542" s="61">
        <f t="shared" si="653"/>
        <v>6835.2371296108749</v>
      </c>
      <c r="Q542" s="61">
        <f t="shared" si="654"/>
        <v>5126.427847208156</v>
      </c>
      <c r="R542" s="61">
        <f t="shared" si="655"/>
        <v>1708.8092824027187</v>
      </c>
      <c r="S542" s="61">
        <f t="shared" si="656"/>
        <v>227.84123765369583</v>
      </c>
      <c r="T542" s="58">
        <f t="shared" si="657"/>
        <v>261.53895670267741</v>
      </c>
      <c r="U542" s="61">
        <f t="shared" si="658"/>
        <v>2563.213923604078</v>
      </c>
      <c r="V542" s="58">
        <f t="shared" si="659"/>
        <v>854.40464120135937</v>
      </c>
      <c r="W542" s="101">
        <v>0</v>
      </c>
      <c r="X542" s="63">
        <f t="shared" si="660"/>
        <v>0</v>
      </c>
      <c r="Y542" s="61">
        <v>0</v>
      </c>
      <c r="Z542" s="61">
        <v>25.27</v>
      </c>
      <c r="AA542" s="61">
        <f t="shared" si="661"/>
        <v>854.40464120135937</v>
      </c>
      <c r="AB542" s="61">
        <f t="shared" si="662"/>
        <v>170.88092824027186</v>
      </c>
      <c r="AC542" s="61">
        <v>1420.53</v>
      </c>
      <c r="AD542" s="61">
        <v>626.21</v>
      </c>
      <c r="AE542" s="61">
        <v>405.84</v>
      </c>
      <c r="AF542" s="61">
        <v>0</v>
      </c>
      <c r="AG542" s="61">
        <f t="shared" si="663"/>
        <v>235.81568097157518</v>
      </c>
      <c r="AH542" s="64"/>
      <c r="AI542" s="64"/>
      <c r="AJ542" s="67">
        <v>113</v>
      </c>
      <c r="AK542" s="73" t="s">
        <v>66</v>
      </c>
      <c r="AL542" s="67">
        <v>13382</v>
      </c>
      <c r="AM542" s="72" t="s">
        <v>737</v>
      </c>
      <c r="AN542" s="72" t="s">
        <v>724</v>
      </c>
      <c r="AO542" s="138">
        <f t="shared" si="690"/>
        <v>51264.278472081562</v>
      </c>
      <c r="AP542" s="65">
        <f t="shared" si="691"/>
        <v>17088.092824027186</v>
      </c>
      <c r="AQ542" s="65">
        <f t="shared" si="692"/>
        <v>0</v>
      </c>
      <c r="AR542" s="65">
        <f t="shared" si="693"/>
        <v>0</v>
      </c>
      <c r="AS542" s="65">
        <f t="shared" si="694"/>
        <v>252.7</v>
      </c>
      <c r="AT542" s="65">
        <f t="shared" si="695"/>
        <v>8544.046412013593</v>
      </c>
      <c r="AU542" s="65">
        <f t="shared" si="696"/>
        <v>1708.8092824027185</v>
      </c>
      <c r="AV542" s="65">
        <f t="shared" si="697"/>
        <v>14205.3</v>
      </c>
      <c r="AW542" s="65">
        <f t="shared" si="698"/>
        <v>6262.1</v>
      </c>
      <c r="AX542" s="65">
        <f t="shared" si="699"/>
        <v>4058.3999999999996</v>
      </c>
      <c r="AY542" s="65">
        <f t="shared" si="700"/>
        <v>0</v>
      </c>
      <c r="AZ542" s="65">
        <f t="shared" si="701"/>
        <v>2358.1568097157519</v>
      </c>
      <c r="BB542" s="64"/>
      <c r="BC542" s="66"/>
      <c r="BD542" s="66"/>
      <c r="BE542" s="66"/>
    </row>
    <row r="543" spans="2:57" ht="21" customHeight="1" x14ac:dyDescent="0.2">
      <c r="B543" s="67">
        <v>114</v>
      </c>
      <c r="C543" s="73" t="s">
        <v>66</v>
      </c>
      <c r="D543" s="67">
        <v>13192</v>
      </c>
      <c r="E543" s="72" t="s">
        <v>738</v>
      </c>
      <c r="F543" s="72" t="s">
        <v>724</v>
      </c>
      <c r="G543" s="123">
        <v>38777</v>
      </c>
      <c r="H543" s="56" t="str">
        <f t="shared" si="650"/>
        <v>18 AÑOS</v>
      </c>
      <c r="I543" s="57">
        <v>3170.3326204132072</v>
      </c>
      <c r="J543" s="58"/>
      <c r="K543" s="58"/>
      <c r="L543" s="59"/>
      <c r="M543" s="60">
        <v>7.7999999999999999E-4</v>
      </c>
      <c r="N543" s="61">
        <f t="shared" si="689"/>
        <v>247.28594439223016</v>
      </c>
      <c r="O543" s="58">
        <f t="shared" si="652"/>
        <v>3417.6185648054375</v>
      </c>
      <c r="P543" s="61">
        <f t="shared" si="653"/>
        <v>6835.2371296108749</v>
      </c>
      <c r="Q543" s="61">
        <f t="shared" si="654"/>
        <v>5126.427847208156</v>
      </c>
      <c r="R543" s="61">
        <f t="shared" si="655"/>
        <v>1708.8092824027187</v>
      </c>
      <c r="S543" s="61">
        <f t="shared" si="656"/>
        <v>227.84123765369583</v>
      </c>
      <c r="T543" s="58">
        <f t="shared" si="657"/>
        <v>261.53895670267741</v>
      </c>
      <c r="U543" s="61">
        <f t="shared" si="658"/>
        <v>2563.213923604078</v>
      </c>
      <c r="V543" s="58">
        <f t="shared" si="659"/>
        <v>854.40464120135937</v>
      </c>
      <c r="W543" s="101">
        <v>7.4999999999999997E-2</v>
      </c>
      <c r="X543" s="63">
        <f t="shared" si="660"/>
        <v>512.6427847208156</v>
      </c>
      <c r="Y543" s="61">
        <v>0</v>
      </c>
      <c r="Z543" s="61">
        <v>25.27</v>
      </c>
      <c r="AA543" s="61">
        <f t="shared" si="661"/>
        <v>854.40464120135937</v>
      </c>
      <c r="AB543" s="61">
        <f t="shared" si="662"/>
        <v>170.88092824027186</v>
      </c>
      <c r="AC543" s="61">
        <v>1420.53</v>
      </c>
      <c r="AD543" s="61">
        <v>626.21</v>
      </c>
      <c r="AE543" s="61">
        <v>405.84</v>
      </c>
      <c r="AF543" s="61">
        <v>0</v>
      </c>
      <c r="AG543" s="61">
        <f t="shared" si="663"/>
        <v>235.81568097157518</v>
      </c>
      <c r="AH543" s="64"/>
      <c r="AI543" s="64"/>
      <c r="AJ543" s="67">
        <v>114</v>
      </c>
      <c r="AK543" s="73" t="s">
        <v>66</v>
      </c>
      <c r="AL543" s="67">
        <v>13192</v>
      </c>
      <c r="AM543" s="72" t="s">
        <v>738</v>
      </c>
      <c r="AN543" s="72" t="s">
        <v>724</v>
      </c>
      <c r="AO543" s="138">
        <f t="shared" si="690"/>
        <v>51264.278472081562</v>
      </c>
      <c r="AP543" s="65">
        <f t="shared" si="691"/>
        <v>17088.092824027186</v>
      </c>
      <c r="AQ543" s="65">
        <f t="shared" si="692"/>
        <v>5126.427847208156</v>
      </c>
      <c r="AR543" s="65">
        <f t="shared" si="693"/>
        <v>0</v>
      </c>
      <c r="AS543" s="65">
        <f t="shared" si="694"/>
        <v>252.7</v>
      </c>
      <c r="AT543" s="65">
        <f t="shared" si="695"/>
        <v>8544.046412013593</v>
      </c>
      <c r="AU543" s="65">
        <f t="shared" si="696"/>
        <v>1708.8092824027185</v>
      </c>
      <c r="AV543" s="65">
        <f t="shared" si="697"/>
        <v>14205.3</v>
      </c>
      <c r="AW543" s="65">
        <f t="shared" si="698"/>
        <v>6262.1</v>
      </c>
      <c r="AX543" s="65">
        <f t="shared" si="699"/>
        <v>4058.3999999999996</v>
      </c>
      <c r="AY543" s="65">
        <f t="shared" si="700"/>
        <v>0</v>
      </c>
      <c r="AZ543" s="65">
        <f t="shared" si="701"/>
        <v>2358.1568097157519</v>
      </c>
      <c r="BB543" s="64"/>
      <c r="BC543" s="66"/>
      <c r="BD543" s="66"/>
      <c r="BE543" s="66"/>
    </row>
    <row r="544" spans="2:57" ht="21" customHeight="1" x14ac:dyDescent="0.2">
      <c r="B544" s="67">
        <v>115</v>
      </c>
      <c r="C544" s="73" t="s">
        <v>66</v>
      </c>
      <c r="D544" s="67">
        <v>13381</v>
      </c>
      <c r="E544" s="72" t="s">
        <v>739</v>
      </c>
      <c r="F544" s="72" t="s">
        <v>724</v>
      </c>
      <c r="G544" s="123">
        <v>44758</v>
      </c>
      <c r="H544" s="56" t="str">
        <f t="shared" si="650"/>
        <v>2 AÑOS</v>
      </c>
      <c r="I544" s="57">
        <v>3170.3326204132072</v>
      </c>
      <c r="J544" s="58"/>
      <c r="K544" s="58"/>
      <c r="L544" s="59"/>
      <c r="M544" s="60">
        <v>7.7999999999999999E-4</v>
      </c>
      <c r="N544" s="61">
        <f t="shared" si="689"/>
        <v>247.28594439223016</v>
      </c>
      <c r="O544" s="58">
        <f t="shared" si="652"/>
        <v>3417.6185648054375</v>
      </c>
      <c r="P544" s="61">
        <f t="shared" si="653"/>
        <v>6835.2371296108749</v>
      </c>
      <c r="Q544" s="61">
        <f t="shared" si="654"/>
        <v>5126.427847208156</v>
      </c>
      <c r="R544" s="61">
        <f t="shared" si="655"/>
        <v>1708.8092824027187</v>
      </c>
      <c r="S544" s="61">
        <f t="shared" si="656"/>
        <v>227.84123765369583</v>
      </c>
      <c r="T544" s="58">
        <f t="shared" si="657"/>
        <v>261.53895670267741</v>
      </c>
      <c r="U544" s="61">
        <f t="shared" si="658"/>
        <v>2563.213923604078</v>
      </c>
      <c r="V544" s="58">
        <f t="shared" si="659"/>
        <v>854.40464120135937</v>
      </c>
      <c r="W544" s="101">
        <v>0</v>
      </c>
      <c r="X544" s="63">
        <f t="shared" si="660"/>
        <v>0</v>
      </c>
      <c r="Y544" s="61">
        <v>0</v>
      </c>
      <c r="Z544" s="61">
        <v>25.27</v>
      </c>
      <c r="AA544" s="61">
        <f t="shared" si="661"/>
        <v>854.40464120135937</v>
      </c>
      <c r="AB544" s="61">
        <f t="shared" si="662"/>
        <v>170.88092824027186</v>
      </c>
      <c r="AC544" s="61">
        <v>1420.53</v>
      </c>
      <c r="AD544" s="61">
        <v>626.21</v>
      </c>
      <c r="AE544" s="61">
        <v>405.84</v>
      </c>
      <c r="AF544" s="61">
        <v>0</v>
      </c>
      <c r="AG544" s="61">
        <f t="shared" si="663"/>
        <v>235.81568097157518</v>
      </c>
      <c r="AH544" s="64"/>
      <c r="AI544" s="64"/>
      <c r="AJ544" s="67">
        <v>115</v>
      </c>
      <c r="AK544" s="73" t="s">
        <v>66</v>
      </c>
      <c r="AL544" s="67">
        <v>13381</v>
      </c>
      <c r="AM544" s="72" t="s">
        <v>739</v>
      </c>
      <c r="AN544" s="72" t="s">
        <v>724</v>
      </c>
      <c r="AO544" s="138">
        <f t="shared" si="690"/>
        <v>51264.278472081562</v>
      </c>
      <c r="AP544" s="65">
        <f t="shared" si="691"/>
        <v>17088.092824027186</v>
      </c>
      <c r="AQ544" s="65">
        <f t="shared" si="692"/>
        <v>0</v>
      </c>
      <c r="AR544" s="65">
        <f t="shared" si="693"/>
        <v>0</v>
      </c>
      <c r="AS544" s="65">
        <f t="shared" si="694"/>
        <v>252.7</v>
      </c>
      <c r="AT544" s="65">
        <f t="shared" si="695"/>
        <v>8544.046412013593</v>
      </c>
      <c r="AU544" s="65">
        <f t="shared" si="696"/>
        <v>1708.8092824027185</v>
      </c>
      <c r="AV544" s="65">
        <f t="shared" si="697"/>
        <v>14205.3</v>
      </c>
      <c r="AW544" s="65">
        <f t="shared" si="698"/>
        <v>6262.1</v>
      </c>
      <c r="AX544" s="65">
        <f t="shared" si="699"/>
        <v>4058.3999999999996</v>
      </c>
      <c r="AY544" s="65">
        <f t="shared" si="700"/>
        <v>0</v>
      </c>
      <c r="AZ544" s="65">
        <f t="shared" si="701"/>
        <v>2358.1568097157519</v>
      </c>
      <c r="BB544" s="64"/>
      <c r="BC544" s="66"/>
      <c r="BD544" s="66"/>
      <c r="BE544" s="66"/>
    </row>
    <row r="545" spans="2:57" ht="21" customHeight="1" x14ac:dyDescent="0.2">
      <c r="B545" s="67">
        <v>116</v>
      </c>
      <c r="C545" s="73" t="s">
        <v>66</v>
      </c>
      <c r="D545" s="67">
        <v>13354</v>
      </c>
      <c r="E545" s="72" t="s">
        <v>740</v>
      </c>
      <c r="F545" s="72" t="s">
        <v>724</v>
      </c>
      <c r="G545" s="123">
        <v>43846</v>
      </c>
      <c r="H545" s="56" t="str">
        <f t="shared" si="650"/>
        <v>4 AÑOS</v>
      </c>
      <c r="I545" s="57">
        <v>3170.3326204132072</v>
      </c>
      <c r="J545" s="58"/>
      <c r="K545" s="58"/>
      <c r="L545" s="59"/>
      <c r="M545" s="60">
        <v>7.7999999999999999E-4</v>
      </c>
      <c r="N545" s="61">
        <f t="shared" si="689"/>
        <v>247.28594439223016</v>
      </c>
      <c r="O545" s="58">
        <f t="shared" si="652"/>
        <v>3417.6185648054375</v>
      </c>
      <c r="P545" s="61">
        <f t="shared" si="653"/>
        <v>6835.2371296108749</v>
      </c>
      <c r="Q545" s="61">
        <f t="shared" si="654"/>
        <v>5126.427847208156</v>
      </c>
      <c r="R545" s="61">
        <f t="shared" si="655"/>
        <v>1708.8092824027187</v>
      </c>
      <c r="S545" s="61">
        <f t="shared" si="656"/>
        <v>227.84123765369583</v>
      </c>
      <c r="T545" s="58">
        <f t="shared" si="657"/>
        <v>261.53895670267741</v>
      </c>
      <c r="U545" s="61">
        <f t="shared" si="658"/>
        <v>2563.213923604078</v>
      </c>
      <c r="V545" s="58">
        <f t="shared" si="659"/>
        <v>854.40464120135937</v>
      </c>
      <c r="W545" s="101">
        <v>0</v>
      </c>
      <c r="X545" s="63">
        <f t="shared" si="660"/>
        <v>0</v>
      </c>
      <c r="Y545" s="61">
        <v>0</v>
      </c>
      <c r="Z545" s="61">
        <v>25.27</v>
      </c>
      <c r="AA545" s="61">
        <f t="shared" si="661"/>
        <v>854.40464120135937</v>
      </c>
      <c r="AB545" s="61">
        <f t="shared" si="662"/>
        <v>170.88092824027186</v>
      </c>
      <c r="AC545" s="61">
        <v>1420.53</v>
      </c>
      <c r="AD545" s="61">
        <v>626.21</v>
      </c>
      <c r="AE545" s="61">
        <v>405.84</v>
      </c>
      <c r="AF545" s="61">
        <v>0</v>
      </c>
      <c r="AG545" s="61">
        <f t="shared" si="663"/>
        <v>235.81568097157518</v>
      </c>
      <c r="AH545" s="64"/>
      <c r="AI545" s="64"/>
      <c r="AJ545" s="67">
        <v>116</v>
      </c>
      <c r="AK545" s="73" t="s">
        <v>66</v>
      </c>
      <c r="AL545" s="67">
        <v>13354</v>
      </c>
      <c r="AM545" s="72" t="s">
        <v>740</v>
      </c>
      <c r="AN545" s="72" t="s">
        <v>724</v>
      </c>
      <c r="AO545" s="138">
        <f t="shared" si="690"/>
        <v>51264.278472081562</v>
      </c>
      <c r="AP545" s="65">
        <f t="shared" si="691"/>
        <v>17088.092824027186</v>
      </c>
      <c r="AQ545" s="65">
        <f t="shared" si="692"/>
        <v>0</v>
      </c>
      <c r="AR545" s="65">
        <f t="shared" si="693"/>
        <v>0</v>
      </c>
      <c r="AS545" s="65">
        <f t="shared" si="694"/>
        <v>252.7</v>
      </c>
      <c r="AT545" s="65">
        <f t="shared" si="695"/>
        <v>8544.046412013593</v>
      </c>
      <c r="AU545" s="65">
        <f t="shared" si="696"/>
        <v>1708.8092824027185</v>
      </c>
      <c r="AV545" s="65">
        <f t="shared" si="697"/>
        <v>14205.3</v>
      </c>
      <c r="AW545" s="65">
        <f t="shared" si="698"/>
        <v>6262.1</v>
      </c>
      <c r="AX545" s="65">
        <f t="shared" si="699"/>
        <v>4058.3999999999996</v>
      </c>
      <c r="AY545" s="65">
        <f t="shared" si="700"/>
        <v>0</v>
      </c>
      <c r="AZ545" s="65">
        <f t="shared" si="701"/>
        <v>2358.1568097157519</v>
      </c>
      <c r="BB545" s="64"/>
      <c r="BC545" s="66"/>
      <c r="BD545" s="66"/>
      <c r="BE545" s="66"/>
    </row>
    <row r="546" spans="2:57" ht="21" customHeight="1" x14ac:dyDescent="0.2">
      <c r="B546" s="67">
        <v>117</v>
      </c>
      <c r="C546" s="73" t="s">
        <v>66</v>
      </c>
      <c r="D546" s="67">
        <v>13260</v>
      </c>
      <c r="E546" s="72" t="s">
        <v>741</v>
      </c>
      <c r="F546" s="72" t="s">
        <v>724</v>
      </c>
      <c r="G546" s="123">
        <v>40918</v>
      </c>
      <c r="H546" s="56" t="str">
        <f t="shared" si="650"/>
        <v>12 AÑOS</v>
      </c>
      <c r="I546" s="57">
        <v>3170.3326204132072</v>
      </c>
      <c r="J546" s="58"/>
      <c r="K546" s="58"/>
      <c r="L546" s="59"/>
      <c r="M546" s="60">
        <v>7.7999999999999999E-4</v>
      </c>
      <c r="N546" s="61">
        <f t="shared" si="689"/>
        <v>247.28594439223016</v>
      </c>
      <c r="O546" s="58">
        <f t="shared" si="652"/>
        <v>3417.6185648054375</v>
      </c>
      <c r="P546" s="61">
        <f t="shared" si="653"/>
        <v>6835.2371296108749</v>
      </c>
      <c r="Q546" s="61">
        <f t="shared" si="654"/>
        <v>5126.427847208156</v>
      </c>
      <c r="R546" s="61">
        <f t="shared" si="655"/>
        <v>1708.8092824027187</v>
      </c>
      <c r="S546" s="61">
        <f t="shared" si="656"/>
        <v>227.84123765369583</v>
      </c>
      <c r="T546" s="58">
        <f t="shared" si="657"/>
        <v>261.53895670267741</v>
      </c>
      <c r="U546" s="61">
        <f t="shared" si="658"/>
        <v>2563.213923604078</v>
      </c>
      <c r="V546" s="58">
        <f t="shared" si="659"/>
        <v>854.40464120135937</v>
      </c>
      <c r="W546" s="101">
        <v>0.05</v>
      </c>
      <c r="X546" s="63">
        <f t="shared" si="660"/>
        <v>341.76185648054377</v>
      </c>
      <c r="Y546" s="61">
        <v>0</v>
      </c>
      <c r="Z546" s="61">
        <v>25.27</v>
      </c>
      <c r="AA546" s="61">
        <f t="shared" si="661"/>
        <v>854.40464120135937</v>
      </c>
      <c r="AB546" s="61">
        <f t="shared" si="662"/>
        <v>170.88092824027186</v>
      </c>
      <c r="AC546" s="61">
        <v>1420.53</v>
      </c>
      <c r="AD546" s="61">
        <v>626.21</v>
      </c>
      <c r="AE546" s="61">
        <v>405.84</v>
      </c>
      <c r="AF546" s="61">
        <v>0</v>
      </c>
      <c r="AG546" s="61">
        <f t="shared" si="663"/>
        <v>235.81568097157518</v>
      </c>
      <c r="AH546" s="64"/>
      <c r="AI546" s="64"/>
      <c r="AJ546" s="67">
        <v>117</v>
      </c>
      <c r="AK546" s="73" t="s">
        <v>66</v>
      </c>
      <c r="AL546" s="67">
        <v>13260</v>
      </c>
      <c r="AM546" s="72" t="s">
        <v>741</v>
      </c>
      <c r="AN546" s="72" t="s">
        <v>724</v>
      </c>
      <c r="AO546" s="138">
        <f t="shared" si="690"/>
        <v>51264.278472081562</v>
      </c>
      <c r="AP546" s="65">
        <f t="shared" si="691"/>
        <v>17088.092824027186</v>
      </c>
      <c r="AQ546" s="65">
        <f t="shared" si="692"/>
        <v>3417.6185648054379</v>
      </c>
      <c r="AR546" s="65">
        <f t="shared" si="693"/>
        <v>0</v>
      </c>
      <c r="AS546" s="65">
        <f t="shared" si="694"/>
        <v>252.7</v>
      </c>
      <c r="AT546" s="65">
        <f t="shared" si="695"/>
        <v>8544.046412013593</v>
      </c>
      <c r="AU546" s="65">
        <f t="shared" si="696"/>
        <v>1708.8092824027185</v>
      </c>
      <c r="AV546" s="65">
        <f t="shared" si="697"/>
        <v>14205.3</v>
      </c>
      <c r="AW546" s="65">
        <f t="shared" si="698"/>
        <v>6262.1</v>
      </c>
      <c r="AX546" s="65">
        <f t="shared" si="699"/>
        <v>4058.3999999999996</v>
      </c>
      <c r="AY546" s="65">
        <f t="shared" si="700"/>
        <v>0</v>
      </c>
      <c r="AZ546" s="65">
        <f t="shared" si="701"/>
        <v>2358.1568097157519</v>
      </c>
      <c r="BB546" s="64"/>
      <c r="BC546" s="66"/>
      <c r="BD546" s="66"/>
      <c r="BE546" s="66"/>
    </row>
    <row r="547" spans="2:57" ht="21" customHeight="1" x14ac:dyDescent="0.2">
      <c r="B547" s="67">
        <v>118</v>
      </c>
      <c r="C547" s="73" t="s">
        <v>66</v>
      </c>
      <c r="D547" s="67">
        <v>13402</v>
      </c>
      <c r="E547" s="73" t="s">
        <v>742</v>
      </c>
      <c r="F547" s="72" t="s">
        <v>724</v>
      </c>
      <c r="G547" s="123">
        <v>45352</v>
      </c>
      <c r="H547" s="56" t="str">
        <f t="shared" si="650"/>
        <v>0 AÑOS</v>
      </c>
      <c r="I547" s="57">
        <v>3170.3326204132072</v>
      </c>
      <c r="J547" s="58"/>
      <c r="K547" s="58"/>
      <c r="L547" s="59"/>
      <c r="M547" s="60">
        <v>7.7999999999999999E-4</v>
      </c>
      <c r="N547" s="61">
        <f t="shared" si="689"/>
        <v>247.28594439223016</v>
      </c>
      <c r="O547" s="58">
        <f t="shared" si="652"/>
        <v>3417.6185648054375</v>
      </c>
      <c r="P547" s="61">
        <f t="shared" si="653"/>
        <v>6835.2371296108749</v>
      </c>
      <c r="Q547" s="61">
        <f t="shared" si="654"/>
        <v>5126.427847208156</v>
      </c>
      <c r="R547" s="61">
        <f t="shared" si="655"/>
        <v>1708.8092824027187</v>
      </c>
      <c r="S547" s="61">
        <f t="shared" si="656"/>
        <v>227.84123765369583</v>
      </c>
      <c r="T547" s="58">
        <f t="shared" si="657"/>
        <v>261.53895670267741</v>
      </c>
      <c r="U547" s="61">
        <f t="shared" si="658"/>
        <v>2563.213923604078</v>
      </c>
      <c r="V547" s="58">
        <f t="shared" si="659"/>
        <v>854.40464120135937</v>
      </c>
      <c r="W547" s="101">
        <v>0</v>
      </c>
      <c r="X547" s="63">
        <f t="shared" si="660"/>
        <v>0</v>
      </c>
      <c r="Y547" s="61">
        <v>0</v>
      </c>
      <c r="Z547" s="61">
        <v>25.27</v>
      </c>
      <c r="AA547" s="61">
        <f t="shared" si="661"/>
        <v>854.40464120135937</v>
      </c>
      <c r="AB547" s="61">
        <f t="shared" si="662"/>
        <v>170.88092824027186</v>
      </c>
      <c r="AC547" s="61">
        <v>1420.53</v>
      </c>
      <c r="AD547" s="61">
        <v>626.21</v>
      </c>
      <c r="AE547" s="61">
        <v>405.84</v>
      </c>
      <c r="AF547" s="61">
        <v>0</v>
      </c>
      <c r="AG547" s="61">
        <f t="shared" si="663"/>
        <v>235.81568097157518</v>
      </c>
      <c r="AH547" s="64"/>
      <c r="AI547" s="64"/>
      <c r="AJ547" s="67">
        <v>118</v>
      </c>
      <c r="AK547" s="73" t="s">
        <v>66</v>
      </c>
      <c r="AL547" s="67">
        <v>13402</v>
      </c>
      <c r="AM547" s="73" t="s">
        <v>742</v>
      </c>
      <c r="AN547" s="72" t="s">
        <v>724</v>
      </c>
      <c r="AO547" s="138">
        <f t="shared" si="690"/>
        <v>51264.278472081562</v>
      </c>
      <c r="AP547" s="65">
        <f t="shared" si="691"/>
        <v>17088.092824027186</v>
      </c>
      <c r="AQ547" s="65">
        <f t="shared" si="692"/>
        <v>0</v>
      </c>
      <c r="AR547" s="65">
        <f t="shared" si="693"/>
        <v>0</v>
      </c>
      <c r="AS547" s="65">
        <f t="shared" si="694"/>
        <v>252.7</v>
      </c>
      <c r="AT547" s="65">
        <f t="shared" si="695"/>
        <v>8544.046412013593</v>
      </c>
      <c r="AU547" s="65">
        <f t="shared" si="696"/>
        <v>1708.8092824027185</v>
      </c>
      <c r="AV547" s="65">
        <f t="shared" si="697"/>
        <v>14205.3</v>
      </c>
      <c r="AW547" s="65">
        <f t="shared" si="698"/>
        <v>6262.1</v>
      </c>
      <c r="AX547" s="65">
        <f t="shared" si="699"/>
        <v>4058.3999999999996</v>
      </c>
      <c r="AY547" s="65">
        <f t="shared" si="700"/>
        <v>0</v>
      </c>
      <c r="AZ547" s="65">
        <f t="shared" si="701"/>
        <v>2358.1568097157519</v>
      </c>
      <c r="BB547" s="64"/>
      <c r="BC547" s="66"/>
      <c r="BD547" s="66"/>
      <c r="BE547" s="66"/>
    </row>
    <row r="548" spans="2:57" ht="21" customHeight="1" x14ac:dyDescent="0.2">
      <c r="B548" s="67">
        <v>119</v>
      </c>
      <c r="C548" s="73" t="s">
        <v>66</v>
      </c>
      <c r="D548" s="67">
        <v>13287</v>
      </c>
      <c r="E548" s="72" t="s">
        <v>743</v>
      </c>
      <c r="F548" s="72" t="s">
        <v>724</v>
      </c>
      <c r="G548" s="123">
        <v>42079</v>
      </c>
      <c r="H548" s="56" t="str">
        <f t="shared" si="650"/>
        <v>9 AÑOS</v>
      </c>
      <c r="I548" s="57">
        <v>3170.3326204132072</v>
      </c>
      <c r="J548" s="58"/>
      <c r="K548" s="58"/>
      <c r="L548" s="59"/>
      <c r="M548" s="60">
        <v>7.7999999999999999E-4</v>
      </c>
      <c r="N548" s="61">
        <f t="shared" si="689"/>
        <v>247.28594439223016</v>
      </c>
      <c r="O548" s="58">
        <f t="shared" si="652"/>
        <v>3417.6185648054375</v>
      </c>
      <c r="P548" s="61">
        <f t="shared" si="653"/>
        <v>6835.2371296108749</v>
      </c>
      <c r="Q548" s="61">
        <f t="shared" si="654"/>
        <v>5126.427847208156</v>
      </c>
      <c r="R548" s="61">
        <f t="shared" si="655"/>
        <v>1708.8092824027187</v>
      </c>
      <c r="S548" s="61">
        <f t="shared" si="656"/>
        <v>227.84123765369583</v>
      </c>
      <c r="T548" s="58">
        <f t="shared" si="657"/>
        <v>261.53895670267741</v>
      </c>
      <c r="U548" s="61">
        <f t="shared" si="658"/>
        <v>2563.213923604078</v>
      </c>
      <c r="V548" s="58">
        <f t="shared" si="659"/>
        <v>854.40464120135937</v>
      </c>
      <c r="W548" s="101">
        <v>2.5000000000000001E-2</v>
      </c>
      <c r="X548" s="63">
        <f t="shared" si="660"/>
        <v>170.88092824027188</v>
      </c>
      <c r="Y548" s="61">
        <v>0</v>
      </c>
      <c r="Z548" s="61">
        <v>25.27</v>
      </c>
      <c r="AA548" s="61">
        <f t="shared" si="661"/>
        <v>854.40464120135937</v>
      </c>
      <c r="AB548" s="61">
        <f t="shared" si="662"/>
        <v>170.88092824027186</v>
      </c>
      <c r="AC548" s="61">
        <v>1420.53</v>
      </c>
      <c r="AD548" s="61">
        <v>626.21</v>
      </c>
      <c r="AE548" s="61">
        <v>405.84</v>
      </c>
      <c r="AF548" s="61">
        <v>0</v>
      </c>
      <c r="AG548" s="61">
        <f t="shared" si="663"/>
        <v>235.81568097157518</v>
      </c>
      <c r="AH548" s="64"/>
      <c r="AI548" s="64"/>
      <c r="AJ548" s="67">
        <v>119</v>
      </c>
      <c r="AK548" s="73" t="s">
        <v>66</v>
      </c>
      <c r="AL548" s="67">
        <v>13287</v>
      </c>
      <c r="AM548" s="72" t="s">
        <v>743</v>
      </c>
      <c r="AN548" s="72" t="s">
        <v>724</v>
      </c>
      <c r="AO548" s="138">
        <f t="shared" si="690"/>
        <v>51264.278472081562</v>
      </c>
      <c r="AP548" s="65">
        <f t="shared" si="691"/>
        <v>17088.092824027186</v>
      </c>
      <c r="AQ548" s="65">
        <f t="shared" si="692"/>
        <v>1708.809282402719</v>
      </c>
      <c r="AR548" s="65">
        <f t="shared" si="693"/>
        <v>0</v>
      </c>
      <c r="AS548" s="65">
        <f t="shared" si="694"/>
        <v>252.7</v>
      </c>
      <c r="AT548" s="65">
        <f t="shared" si="695"/>
        <v>8544.046412013593</v>
      </c>
      <c r="AU548" s="65">
        <f t="shared" si="696"/>
        <v>1708.8092824027185</v>
      </c>
      <c r="AV548" s="65">
        <f t="shared" si="697"/>
        <v>14205.3</v>
      </c>
      <c r="AW548" s="65">
        <f t="shared" si="698"/>
        <v>6262.1</v>
      </c>
      <c r="AX548" s="65">
        <f t="shared" si="699"/>
        <v>4058.3999999999996</v>
      </c>
      <c r="AY548" s="65">
        <f t="shared" si="700"/>
        <v>0</v>
      </c>
      <c r="AZ548" s="65">
        <f t="shared" si="701"/>
        <v>2358.1568097157519</v>
      </c>
      <c r="BB548" s="64"/>
      <c r="BC548" s="66"/>
      <c r="BD548" s="66"/>
      <c r="BE548" s="66"/>
    </row>
    <row r="549" spans="2:57" ht="21" customHeight="1" x14ac:dyDescent="0.2">
      <c r="B549" s="67">
        <v>120</v>
      </c>
      <c r="C549" s="73" t="s">
        <v>66</v>
      </c>
      <c r="D549" s="67">
        <v>13115</v>
      </c>
      <c r="E549" s="72" t="s">
        <v>744</v>
      </c>
      <c r="F549" s="72" t="s">
        <v>724</v>
      </c>
      <c r="G549" s="123">
        <v>35605</v>
      </c>
      <c r="H549" s="56" t="str">
        <f t="shared" si="650"/>
        <v>27 AÑOS</v>
      </c>
      <c r="I549" s="57">
        <v>3170.3326204132072</v>
      </c>
      <c r="J549" s="58"/>
      <c r="K549" s="58"/>
      <c r="L549" s="59"/>
      <c r="M549" s="60">
        <v>7.7999999999999999E-4</v>
      </c>
      <c r="N549" s="61">
        <f t="shared" si="689"/>
        <v>247.28594439223016</v>
      </c>
      <c r="O549" s="58">
        <f t="shared" si="652"/>
        <v>3417.6185648054375</v>
      </c>
      <c r="P549" s="61">
        <f t="shared" si="653"/>
        <v>6835.2371296108749</v>
      </c>
      <c r="Q549" s="61">
        <f t="shared" si="654"/>
        <v>5126.427847208156</v>
      </c>
      <c r="R549" s="61">
        <f t="shared" si="655"/>
        <v>1708.8092824027187</v>
      </c>
      <c r="S549" s="61">
        <f t="shared" si="656"/>
        <v>227.84123765369583</v>
      </c>
      <c r="T549" s="58">
        <f t="shared" si="657"/>
        <v>261.53895670267741</v>
      </c>
      <c r="U549" s="61">
        <f t="shared" si="658"/>
        <v>2563.213923604078</v>
      </c>
      <c r="V549" s="58">
        <f t="shared" si="659"/>
        <v>854.40464120135937</v>
      </c>
      <c r="W549" s="101">
        <v>7.4999999999999997E-2</v>
      </c>
      <c r="X549" s="63">
        <f t="shared" si="660"/>
        <v>512.6427847208156</v>
      </c>
      <c r="Y549" s="61">
        <v>0</v>
      </c>
      <c r="Z549" s="61">
        <v>25.27</v>
      </c>
      <c r="AA549" s="61">
        <f t="shared" si="661"/>
        <v>854.40464120135937</v>
      </c>
      <c r="AB549" s="61">
        <f t="shared" si="662"/>
        <v>170.88092824027186</v>
      </c>
      <c r="AC549" s="61">
        <v>1420.53</v>
      </c>
      <c r="AD549" s="61">
        <v>626.21</v>
      </c>
      <c r="AE549" s="61">
        <v>405.84</v>
      </c>
      <c r="AF549" s="61">
        <v>0</v>
      </c>
      <c r="AG549" s="61">
        <f t="shared" si="663"/>
        <v>235.81568097157518</v>
      </c>
      <c r="AH549" s="64"/>
      <c r="AI549" s="64"/>
      <c r="AJ549" s="67">
        <v>120</v>
      </c>
      <c r="AK549" s="73" t="s">
        <v>66</v>
      </c>
      <c r="AL549" s="67">
        <v>13115</v>
      </c>
      <c r="AM549" s="72" t="s">
        <v>744</v>
      </c>
      <c r="AN549" s="72" t="s">
        <v>724</v>
      </c>
      <c r="AO549" s="138">
        <f t="shared" si="690"/>
        <v>51264.278472081562</v>
      </c>
      <c r="AP549" s="65">
        <f t="shared" si="691"/>
        <v>17088.092824027186</v>
      </c>
      <c r="AQ549" s="65">
        <f t="shared" si="692"/>
        <v>5126.427847208156</v>
      </c>
      <c r="AR549" s="65">
        <f t="shared" si="693"/>
        <v>0</v>
      </c>
      <c r="AS549" s="65">
        <f t="shared" si="694"/>
        <v>252.7</v>
      </c>
      <c r="AT549" s="65">
        <f t="shared" si="695"/>
        <v>8544.046412013593</v>
      </c>
      <c r="AU549" s="65">
        <f t="shared" si="696"/>
        <v>1708.8092824027185</v>
      </c>
      <c r="AV549" s="65">
        <f t="shared" si="697"/>
        <v>14205.3</v>
      </c>
      <c r="AW549" s="65">
        <f t="shared" si="698"/>
        <v>6262.1</v>
      </c>
      <c r="AX549" s="65">
        <f t="shared" si="699"/>
        <v>4058.3999999999996</v>
      </c>
      <c r="AY549" s="65">
        <f t="shared" si="700"/>
        <v>0</v>
      </c>
      <c r="AZ549" s="65">
        <f t="shared" si="701"/>
        <v>2358.1568097157519</v>
      </c>
      <c r="BB549" s="64"/>
      <c r="BC549" s="66"/>
      <c r="BD549" s="66"/>
      <c r="BE549" s="66"/>
    </row>
    <row r="550" spans="2:57" ht="21" customHeight="1" x14ac:dyDescent="0.2">
      <c r="B550" s="67">
        <v>121</v>
      </c>
      <c r="C550" s="73" t="s">
        <v>66</v>
      </c>
      <c r="D550" s="67">
        <v>13361</v>
      </c>
      <c r="E550" s="72" t="s">
        <v>745</v>
      </c>
      <c r="F550" s="72" t="s">
        <v>724</v>
      </c>
      <c r="G550" s="123">
        <v>43862</v>
      </c>
      <c r="H550" s="56" t="str">
        <f t="shared" si="650"/>
        <v>4 AÑOS</v>
      </c>
      <c r="I550" s="57">
        <v>3170.3326204132072</v>
      </c>
      <c r="J550" s="58"/>
      <c r="K550" s="58"/>
      <c r="L550" s="59"/>
      <c r="M550" s="60">
        <v>7.7999999999999999E-4</v>
      </c>
      <c r="N550" s="61">
        <f t="shared" si="689"/>
        <v>247.28594439223016</v>
      </c>
      <c r="O550" s="58">
        <f t="shared" si="652"/>
        <v>3417.6185648054375</v>
      </c>
      <c r="P550" s="61">
        <f t="shared" si="653"/>
        <v>6835.2371296108749</v>
      </c>
      <c r="Q550" s="61">
        <f t="shared" si="654"/>
        <v>5126.427847208156</v>
      </c>
      <c r="R550" s="61">
        <f t="shared" si="655"/>
        <v>1708.8092824027187</v>
      </c>
      <c r="S550" s="61">
        <f t="shared" si="656"/>
        <v>227.84123765369583</v>
      </c>
      <c r="T550" s="58">
        <f t="shared" si="657"/>
        <v>261.53895670267741</v>
      </c>
      <c r="U550" s="61">
        <f t="shared" si="658"/>
        <v>2563.213923604078</v>
      </c>
      <c r="V550" s="58">
        <f t="shared" si="659"/>
        <v>854.40464120135937</v>
      </c>
      <c r="W550" s="101">
        <v>0</v>
      </c>
      <c r="X550" s="63">
        <f t="shared" si="660"/>
        <v>0</v>
      </c>
      <c r="Y550" s="61">
        <v>0</v>
      </c>
      <c r="Z550" s="61">
        <v>25.27</v>
      </c>
      <c r="AA550" s="61">
        <f t="shared" si="661"/>
        <v>854.40464120135937</v>
      </c>
      <c r="AB550" s="61">
        <f t="shared" si="662"/>
        <v>170.88092824027186</v>
      </c>
      <c r="AC550" s="61">
        <v>1420.53</v>
      </c>
      <c r="AD550" s="61">
        <v>626.21</v>
      </c>
      <c r="AE550" s="61">
        <v>405.84</v>
      </c>
      <c r="AF550" s="61">
        <v>0</v>
      </c>
      <c r="AG550" s="61">
        <f t="shared" si="663"/>
        <v>235.81568097157518</v>
      </c>
      <c r="AH550" s="64"/>
      <c r="AI550" s="64"/>
      <c r="AJ550" s="67">
        <v>121</v>
      </c>
      <c r="AK550" s="73" t="s">
        <v>66</v>
      </c>
      <c r="AL550" s="67">
        <v>13361</v>
      </c>
      <c r="AM550" s="72" t="s">
        <v>745</v>
      </c>
      <c r="AN550" s="72" t="s">
        <v>724</v>
      </c>
      <c r="AO550" s="138">
        <f t="shared" si="690"/>
        <v>51264.278472081562</v>
      </c>
      <c r="AP550" s="65">
        <f t="shared" si="691"/>
        <v>17088.092824027186</v>
      </c>
      <c r="AQ550" s="65">
        <f t="shared" si="692"/>
        <v>0</v>
      </c>
      <c r="AR550" s="65">
        <f t="shared" si="693"/>
        <v>0</v>
      </c>
      <c r="AS550" s="65">
        <f t="shared" si="694"/>
        <v>252.7</v>
      </c>
      <c r="AT550" s="65">
        <f t="shared" si="695"/>
        <v>8544.046412013593</v>
      </c>
      <c r="AU550" s="65">
        <f t="shared" si="696"/>
        <v>1708.8092824027185</v>
      </c>
      <c r="AV550" s="65">
        <f t="shared" si="697"/>
        <v>14205.3</v>
      </c>
      <c r="AW550" s="65">
        <f t="shared" si="698"/>
        <v>6262.1</v>
      </c>
      <c r="AX550" s="65">
        <f t="shared" si="699"/>
        <v>4058.3999999999996</v>
      </c>
      <c r="AY550" s="65">
        <f t="shared" si="700"/>
        <v>0</v>
      </c>
      <c r="AZ550" s="65">
        <f t="shared" si="701"/>
        <v>2358.1568097157519</v>
      </c>
      <c r="BB550" s="64"/>
      <c r="BC550" s="66"/>
      <c r="BD550" s="66"/>
      <c r="BE550" s="66"/>
    </row>
    <row r="551" spans="2:57" ht="21" customHeight="1" x14ac:dyDescent="0.2">
      <c r="B551" s="67">
        <v>122</v>
      </c>
      <c r="C551" s="73" t="s">
        <v>66</v>
      </c>
      <c r="D551" s="67">
        <v>13320</v>
      </c>
      <c r="E551" s="72" t="s">
        <v>746</v>
      </c>
      <c r="F551" s="72" t="s">
        <v>724</v>
      </c>
      <c r="G551" s="123">
        <v>42193</v>
      </c>
      <c r="H551" s="56" t="str">
        <f t="shared" si="650"/>
        <v>9 AÑOS</v>
      </c>
      <c r="I551" s="57">
        <v>3170.3326204132072</v>
      </c>
      <c r="J551" s="58"/>
      <c r="K551" s="58"/>
      <c r="L551" s="59"/>
      <c r="M551" s="60">
        <v>7.7999999999999999E-4</v>
      </c>
      <c r="N551" s="61">
        <f t="shared" si="689"/>
        <v>247.28594439223016</v>
      </c>
      <c r="O551" s="58">
        <f t="shared" si="652"/>
        <v>3417.6185648054375</v>
      </c>
      <c r="P551" s="61">
        <f t="shared" si="653"/>
        <v>6835.2371296108749</v>
      </c>
      <c r="Q551" s="61">
        <f t="shared" si="654"/>
        <v>5126.427847208156</v>
      </c>
      <c r="R551" s="61">
        <f t="shared" si="655"/>
        <v>1708.8092824027187</v>
      </c>
      <c r="S551" s="61">
        <f t="shared" si="656"/>
        <v>227.84123765369583</v>
      </c>
      <c r="T551" s="58">
        <f t="shared" si="657"/>
        <v>261.53895670267741</v>
      </c>
      <c r="U551" s="61">
        <f t="shared" si="658"/>
        <v>2563.213923604078</v>
      </c>
      <c r="V551" s="58">
        <f t="shared" si="659"/>
        <v>854.40464120135937</v>
      </c>
      <c r="W551" s="101">
        <v>2.5000000000000001E-2</v>
      </c>
      <c r="X551" s="63">
        <f t="shared" si="660"/>
        <v>170.88092824027188</v>
      </c>
      <c r="Y551" s="61">
        <v>0</v>
      </c>
      <c r="Z551" s="61">
        <v>25.27</v>
      </c>
      <c r="AA551" s="61">
        <f t="shared" si="661"/>
        <v>854.40464120135937</v>
      </c>
      <c r="AB551" s="61">
        <f t="shared" si="662"/>
        <v>170.88092824027186</v>
      </c>
      <c r="AC551" s="61">
        <v>1420.53</v>
      </c>
      <c r="AD551" s="61">
        <v>626.21</v>
      </c>
      <c r="AE551" s="61">
        <v>405.84</v>
      </c>
      <c r="AF551" s="61">
        <v>0</v>
      </c>
      <c r="AG551" s="61">
        <f t="shared" si="663"/>
        <v>235.81568097157518</v>
      </c>
      <c r="AH551" s="64"/>
      <c r="AI551" s="64"/>
      <c r="AJ551" s="67">
        <v>122</v>
      </c>
      <c r="AK551" s="73" t="s">
        <v>66</v>
      </c>
      <c r="AL551" s="67">
        <v>13320</v>
      </c>
      <c r="AM551" s="72" t="s">
        <v>746</v>
      </c>
      <c r="AN551" s="72" t="s">
        <v>724</v>
      </c>
      <c r="AO551" s="138">
        <f t="shared" si="690"/>
        <v>51264.278472081562</v>
      </c>
      <c r="AP551" s="65">
        <f t="shared" si="691"/>
        <v>17088.092824027186</v>
      </c>
      <c r="AQ551" s="65">
        <f t="shared" si="692"/>
        <v>1708.809282402719</v>
      </c>
      <c r="AR551" s="65">
        <f t="shared" si="693"/>
        <v>0</v>
      </c>
      <c r="AS551" s="65">
        <f t="shared" si="694"/>
        <v>252.7</v>
      </c>
      <c r="AT551" s="65">
        <f t="shared" si="695"/>
        <v>8544.046412013593</v>
      </c>
      <c r="AU551" s="65">
        <f t="shared" si="696"/>
        <v>1708.8092824027185</v>
      </c>
      <c r="AV551" s="65">
        <f t="shared" si="697"/>
        <v>14205.3</v>
      </c>
      <c r="AW551" s="65">
        <f t="shared" si="698"/>
        <v>6262.1</v>
      </c>
      <c r="AX551" s="65">
        <f t="shared" si="699"/>
        <v>4058.3999999999996</v>
      </c>
      <c r="AY551" s="65">
        <f t="shared" si="700"/>
        <v>0</v>
      </c>
      <c r="AZ551" s="65">
        <f t="shared" si="701"/>
        <v>2358.1568097157519</v>
      </c>
      <c r="BB551" s="64"/>
      <c r="BC551" s="66"/>
      <c r="BD551" s="66"/>
      <c r="BE551" s="66"/>
    </row>
    <row r="552" spans="2:57" ht="21" customHeight="1" x14ac:dyDescent="0.2">
      <c r="B552" s="67">
        <v>123</v>
      </c>
      <c r="C552" s="73" t="s">
        <v>66</v>
      </c>
      <c r="D552" s="67">
        <v>13351</v>
      </c>
      <c r="E552" s="72" t="s">
        <v>747</v>
      </c>
      <c r="F552" s="72" t="s">
        <v>724</v>
      </c>
      <c r="G552" s="123">
        <v>43647</v>
      </c>
      <c r="H552" s="56" t="str">
        <f t="shared" si="650"/>
        <v>5 AÑOS</v>
      </c>
      <c r="I552" s="57">
        <v>3170.3326204132072</v>
      </c>
      <c r="J552" s="58"/>
      <c r="K552" s="58"/>
      <c r="L552" s="59"/>
      <c r="M552" s="60">
        <v>7.7999999999999999E-4</v>
      </c>
      <c r="N552" s="61">
        <f t="shared" si="689"/>
        <v>247.28594439223016</v>
      </c>
      <c r="O552" s="58">
        <f t="shared" si="652"/>
        <v>3417.6185648054375</v>
      </c>
      <c r="P552" s="61">
        <f t="shared" si="653"/>
        <v>6835.2371296108749</v>
      </c>
      <c r="Q552" s="61">
        <f t="shared" si="654"/>
        <v>5126.427847208156</v>
      </c>
      <c r="R552" s="61">
        <f t="shared" si="655"/>
        <v>1708.8092824027187</v>
      </c>
      <c r="S552" s="61">
        <f t="shared" si="656"/>
        <v>227.84123765369583</v>
      </c>
      <c r="T552" s="58">
        <f t="shared" si="657"/>
        <v>261.53895670267741</v>
      </c>
      <c r="U552" s="61">
        <f t="shared" si="658"/>
        <v>2563.213923604078</v>
      </c>
      <c r="V552" s="58">
        <f t="shared" si="659"/>
        <v>854.40464120135937</v>
      </c>
      <c r="W552" s="101">
        <v>2.5000000000000001E-2</v>
      </c>
      <c r="X552" s="63">
        <f t="shared" si="660"/>
        <v>170.88092824027188</v>
      </c>
      <c r="Y552" s="61">
        <v>0</v>
      </c>
      <c r="Z552" s="61">
        <v>25.27</v>
      </c>
      <c r="AA552" s="61">
        <f t="shared" si="661"/>
        <v>854.40464120135937</v>
      </c>
      <c r="AB552" s="61">
        <f t="shared" si="662"/>
        <v>170.88092824027186</v>
      </c>
      <c r="AC552" s="61">
        <v>1420.53</v>
      </c>
      <c r="AD552" s="61">
        <v>626.21</v>
      </c>
      <c r="AE552" s="61">
        <v>405.84</v>
      </c>
      <c r="AF552" s="61">
        <v>0</v>
      </c>
      <c r="AG552" s="61">
        <f t="shared" si="663"/>
        <v>235.81568097157518</v>
      </c>
      <c r="AH552" s="64"/>
      <c r="AI552" s="64"/>
      <c r="AJ552" s="67">
        <v>123</v>
      </c>
      <c r="AK552" s="73" t="s">
        <v>66</v>
      </c>
      <c r="AL552" s="67">
        <v>13351</v>
      </c>
      <c r="AM552" s="72" t="s">
        <v>747</v>
      </c>
      <c r="AN552" s="72" t="s">
        <v>724</v>
      </c>
      <c r="AO552" s="138">
        <f t="shared" si="690"/>
        <v>51264.278472081562</v>
      </c>
      <c r="AP552" s="65">
        <f t="shared" si="691"/>
        <v>17088.092824027186</v>
      </c>
      <c r="AQ552" s="65">
        <f t="shared" si="692"/>
        <v>1708.809282402719</v>
      </c>
      <c r="AR552" s="65">
        <f t="shared" si="693"/>
        <v>0</v>
      </c>
      <c r="AS552" s="65">
        <f t="shared" si="694"/>
        <v>252.7</v>
      </c>
      <c r="AT552" s="65">
        <f t="shared" si="695"/>
        <v>8544.046412013593</v>
      </c>
      <c r="AU552" s="65">
        <f t="shared" si="696"/>
        <v>1708.8092824027185</v>
      </c>
      <c r="AV552" s="65">
        <f t="shared" si="697"/>
        <v>14205.3</v>
      </c>
      <c r="AW552" s="65">
        <f t="shared" si="698"/>
        <v>6262.1</v>
      </c>
      <c r="AX552" s="65">
        <f t="shared" si="699"/>
        <v>4058.3999999999996</v>
      </c>
      <c r="AY552" s="65">
        <f t="shared" si="700"/>
        <v>0</v>
      </c>
      <c r="AZ552" s="65">
        <f t="shared" si="701"/>
        <v>2358.1568097157519</v>
      </c>
      <c r="BB552" s="64"/>
      <c r="BC552" s="66"/>
      <c r="BD552" s="66"/>
      <c r="BE552" s="66"/>
    </row>
    <row r="553" spans="2:57" s="364" customFormat="1" ht="21" customHeight="1" x14ac:dyDescent="0.2">
      <c r="B553" s="365">
        <v>124</v>
      </c>
      <c r="C553" s="372" t="s">
        <v>66</v>
      </c>
      <c r="D553" s="396"/>
      <c r="E553" s="430" t="s">
        <v>55</v>
      </c>
      <c r="F553" s="371" t="s">
        <v>724</v>
      </c>
      <c r="G553" s="363"/>
      <c r="H553" s="56" t="str">
        <f t="shared" si="650"/>
        <v>124 AÑOS</v>
      </c>
      <c r="I553" s="57">
        <v>3170.3326204132072</v>
      </c>
      <c r="J553" s="58"/>
      <c r="K553" s="58"/>
      <c r="L553" s="59"/>
      <c r="M553" s="60">
        <v>7.7999999999999999E-4</v>
      </c>
      <c r="N553" s="61">
        <f t="shared" si="689"/>
        <v>247.28594439223016</v>
      </c>
      <c r="O553" s="58">
        <f t="shared" si="652"/>
        <v>3417.6185648054375</v>
      </c>
      <c r="P553" s="61">
        <f t="shared" si="653"/>
        <v>6835.2371296108749</v>
      </c>
      <c r="Q553" s="61">
        <f t="shared" si="654"/>
        <v>5126.427847208156</v>
      </c>
      <c r="R553" s="61">
        <f t="shared" si="655"/>
        <v>1708.8092824027187</v>
      </c>
      <c r="S553" s="61">
        <f t="shared" si="656"/>
        <v>227.84123765369583</v>
      </c>
      <c r="T553" s="58">
        <f t="shared" si="657"/>
        <v>261.53895670267741</v>
      </c>
      <c r="U553" s="61">
        <f t="shared" si="658"/>
        <v>2563.213923604078</v>
      </c>
      <c r="V553" s="58">
        <f t="shared" si="659"/>
        <v>854.40464120135937</v>
      </c>
      <c r="W553" s="101">
        <v>0</v>
      </c>
      <c r="X553" s="63">
        <f t="shared" si="660"/>
        <v>0</v>
      </c>
      <c r="Y553" s="61">
        <v>0</v>
      </c>
      <c r="Z553" s="61">
        <v>25.27</v>
      </c>
      <c r="AA553" s="61">
        <f t="shared" si="661"/>
        <v>854.40464120135937</v>
      </c>
      <c r="AB553" s="61">
        <f t="shared" si="662"/>
        <v>170.88092824027186</v>
      </c>
      <c r="AC553" s="61">
        <v>1420.53</v>
      </c>
      <c r="AD553" s="61">
        <v>626.21</v>
      </c>
      <c r="AE553" s="61">
        <v>405.84</v>
      </c>
      <c r="AF553" s="61">
        <v>0</v>
      </c>
      <c r="AG553" s="61">
        <f t="shared" si="663"/>
        <v>235.81568097157518</v>
      </c>
      <c r="AH553" s="64"/>
      <c r="AI553" s="64"/>
      <c r="AJ553" s="365">
        <v>124</v>
      </c>
      <c r="AK553" s="372" t="s">
        <v>66</v>
      </c>
      <c r="AL553" s="396"/>
      <c r="AM553" s="430" t="s">
        <v>55</v>
      </c>
      <c r="AN553" s="371" t="s">
        <v>724</v>
      </c>
      <c r="AO553" s="401">
        <f>Q553*7.5</f>
        <v>38448.208854061173</v>
      </c>
      <c r="AP553" s="368">
        <f>R553*7.5</f>
        <v>12816.06961802039</v>
      </c>
      <c r="AQ553" s="368">
        <f t="shared" ref="AQ553:AZ553" si="702">X553*7.5</f>
        <v>0</v>
      </c>
      <c r="AR553" s="368">
        <f t="shared" si="702"/>
        <v>0</v>
      </c>
      <c r="AS553" s="368">
        <f t="shared" si="702"/>
        <v>189.52500000000001</v>
      </c>
      <c r="AT553" s="368">
        <f t="shared" si="702"/>
        <v>6408.0348090101952</v>
      </c>
      <c r="AU553" s="368">
        <f t="shared" si="702"/>
        <v>1281.606961802039</v>
      </c>
      <c r="AV553" s="368">
        <f t="shared" si="702"/>
        <v>10653.975</v>
      </c>
      <c r="AW553" s="368">
        <f t="shared" si="702"/>
        <v>4696.5750000000007</v>
      </c>
      <c r="AX553" s="368">
        <f t="shared" si="702"/>
        <v>3043.7999999999997</v>
      </c>
      <c r="AY553" s="368">
        <f t="shared" si="702"/>
        <v>0</v>
      </c>
      <c r="AZ553" s="368">
        <f t="shared" si="702"/>
        <v>1768.6176072868138</v>
      </c>
      <c r="BB553" s="64"/>
      <c r="BC553" s="66"/>
      <c r="BD553" s="66"/>
      <c r="BE553" s="66"/>
    </row>
    <row r="554" spans="2:57" s="364" customFormat="1" ht="21" customHeight="1" x14ac:dyDescent="0.2">
      <c r="B554" s="365">
        <v>125</v>
      </c>
      <c r="C554" s="372" t="s">
        <v>66</v>
      </c>
      <c r="D554" s="365">
        <v>13236</v>
      </c>
      <c r="E554" s="371" t="s">
        <v>748</v>
      </c>
      <c r="F554" s="371" t="s">
        <v>724</v>
      </c>
      <c r="G554" s="363">
        <v>40057</v>
      </c>
      <c r="H554" s="56" t="str">
        <f t="shared" si="650"/>
        <v>15 AÑOS</v>
      </c>
      <c r="I554" s="57">
        <v>3170.3326204132072</v>
      </c>
      <c r="J554" s="58"/>
      <c r="K554" s="58"/>
      <c r="L554" s="59"/>
      <c r="M554" s="60">
        <v>7.7999999999999999E-4</v>
      </c>
      <c r="N554" s="61">
        <f t="shared" si="689"/>
        <v>247.28594439223016</v>
      </c>
      <c r="O554" s="58">
        <f t="shared" si="652"/>
        <v>3417.6185648054375</v>
      </c>
      <c r="P554" s="61">
        <f t="shared" si="653"/>
        <v>6835.2371296108749</v>
      </c>
      <c r="Q554" s="61">
        <f t="shared" si="654"/>
        <v>5126.427847208156</v>
      </c>
      <c r="R554" s="61">
        <f t="shared" si="655"/>
        <v>1708.8092824027187</v>
      </c>
      <c r="S554" s="61">
        <f t="shared" si="656"/>
        <v>227.84123765369583</v>
      </c>
      <c r="T554" s="58">
        <f t="shared" si="657"/>
        <v>261.53895670267741</v>
      </c>
      <c r="U554" s="61">
        <f t="shared" si="658"/>
        <v>2563.213923604078</v>
      </c>
      <c r="V554" s="58">
        <f t="shared" si="659"/>
        <v>854.40464120135937</v>
      </c>
      <c r="W554" s="101">
        <v>7.4999999999999997E-2</v>
      </c>
      <c r="X554" s="63">
        <f t="shared" si="660"/>
        <v>512.6427847208156</v>
      </c>
      <c r="Y554" s="61">
        <v>0</v>
      </c>
      <c r="Z554" s="61">
        <v>25.27</v>
      </c>
      <c r="AA554" s="61">
        <f t="shared" si="661"/>
        <v>854.40464120135937</v>
      </c>
      <c r="AB554" s="61">
        <f t="shared" si="662"/>
        <v>170.88092824027186</v>
      </c>
      <c r="AC554" s="61">
        <v>1420.53</v>
      </c>
      <c r="AD554" s="61">
        <v>626.21</v>
      </c>
      <c r="AE554" s="61">
        <v>405.84</v>
      </c>
      <c r="AF554" s="61">
        <v>0</v>
      </c>
      <c r="AG554" s="61">
        <f t="shared" si="663"/>
        <v>235.81568097157518</v>
      </c>
      <c r="AH554" s="64"/>
      <c r="AI554" s="64"/>
      <c r="AJ554" s="365">
        <v>125</v>
      </c>
      <c r="AK554" s="372" t="s">
        <v>66</v>
      </c>
      <c r="AL554" s="365">
        <v>13236</v>
      </c>
      <c r="AM554" s="371" t="s">
        <v>748</v>
      </c>
      <c r="AN554" s="371" t="s">
        <v>724</v>
      </c>
      <c r="AO554" s="401">
        <f t="shared" ref="AO554:AP561" si="703">Q554*10</f>
        <v>51264.278472081562</v>
      </c>
      <c r="AP554" s="368">
        <f t="shared" si="703"/>
        <v>17088.092824027186</v>
      </c>
      <c r="AQ554" s="368">
        <f t="shared" ref="AQ554:AZ561" si="704">X554*10</f>
        <v>5126.427847208156</v>
      </c>
      <c r="AR554" s="368">
        <f t="shared" si="704"/>
        <v>0</v>
      </c>
      <c r="AS554" s="368">
        <f t="shared" si="704"/>
        <v>252.7</v>
      </c>
      <c r="AT554" s="368">
        <f t="shared" si="704"/>
        <v>8544.046412013593</v>
      </c>
      <c r="AU554" s="368">
        <f t="shared" si="704"/>
        <v>1708.8092824027185</v>
      </c>
      <c r="AV554" s="368">
        <f t="shared" si="704"/>
        <v>14205.3</v>
      </c>
      <c r="AW554" s="368">
        <f t="shared" si="704"/>
        <v>6262.1</v>
      </c>
      <c r="AX554" s="368">
        <f t="shared" si="704"/>
        <v>4058.3999999999996</v>
      </c>
      <c r="AY554" s="368">
        <f t="shared" si="704"/>
        <v>0</v>
      </c>
      <c r="AZ554" s="368">
        <f t="shared" si="704"/>
        <v>2358.1568097157519</v>
      </c>
      <c r="BB554" s="64"/>
      <c r="BC554" s="66"/>
      <c r="BD554" s="66"/>
      <c r="BE554" s="66"/>
    </row>
    <row r="555" spans="2:57" s="364" customFormat="1" ht="21" customHeight="1" x14ac:dyDescent="0.2">
      <c r="B555" s="365">
        <v>126</v>
      </c>
      <c r="C555" s="372" t="s">
        <v>66</v>
      </c>
      <c r="D555" s="365">
        <v>13119</v>
      </c>
      <c r="E555" s="371" t="s">
        <v>749</v>
      </c>
      <c r="F555" s="371" t="s">
        <v>724</v>
      </c>
      <c r="G555" s="363">
        <v>36246</v>
      </c>
      <c r="H555" s="56" t="str">
        <f t="shared" si="650"/>
        <v>25 AÑOS</v>
      </c>
      <c r="I555" s="57">
        <v>3170.3326204132072</v>
      </c>
      <c r="J555" s="58"/>
      <c r="K555" s="58"/>
      <c r="L555" s="59"/>
      <c r="M555" s="60">
        <v>7.7999999999999999E-4</v>
      </c>
      <c r="N555" s="61">
        <f t="shared" si="689"/>
        <v>247.28594439223016</v>
      </c>
      <c r="O555" s="58">
        <f t="shared" si="652"/>
        <v>3417.6185648054375</v>
      </c>
      <c r="P555" s="61">
        <f t="shared" si="653"/>
        <v>6835.2371296108749</v>
      </c>
      <c r="Q555" s="61">
        <f t="shared" si="654"/>
        <v>5126.427847208156</v>
      </c>
      <c r="R555" s="61">
        <f t="shared" si="655"/>
        <v>1708.8092824027187</v>
      </c>
      <c r="S555" s="61">
        <f t="shared" si="656"/>
        <v>227.84123765369583</v>
      </c>
      <c r="T555" s="58">
        <f t="shared" si="657"/>
        <v>261.53895670267741</v>
      </c>
      <c r="U555" s="61">
        <f t="shared" si="658"/>
        <v>2563.213923604078</v>
      </c>
      <c r="V555" s="58">
        <f t="shared" si="659"/>
        <v>854.40464120135937</v>
      </c>
      <c r="W555" s="101">
        <v>7.4999999999999997E-2</v>
      </c>
      <c r="X555" s="63">
        <f t="shared" si="660"/>
        <v>512.6427847208156</v>
      </c>
      <c r="Y555" s="61">
        <v>0</v>
      </c>
      <c r="Z555" s="61">
        <v>25.27</v>
      </c>
      <c r="AA555" s="61">
        <f t="shared" si="661"/>
        <v>854.40464120135937</v>
      </c>
      <c r="AB555" s="61">
        <f t="shared" si="662"/>
        <v>170.88092824027186</v>
      </c>
      <c r="AC555" s="61">
        <v>1420.53</v>
      </c>
      <c r="AD555" s="61">
        <v>626.21</v>
      </c>
      <c r="AE555" s="61">
        <v>405.84</v>
      </c>
      <c r="AF555" s="61">
        <v>0</v>
      </c>
      <c r="AG555" s="61">
        <f t="shared" si="663"/>
        <v>235.81568097157518</v>
      </c>
      <c r="AH555" s="64"/>
      <c r="AI555" s="64"/>
      <c r="AJ555" s="365">
        <v>126</v>
      </c>
      <c r="AK555" s="372" t="s">
        <v>66</v>
      </c>
      <c r="AL555" s="365">
        <v>13119</v>
      </c>
      <c r="AM555" s="371" t="s">
        <v>749</v>
      </c>
      <c r="AN555" s="371" t="s">
        <v>724</v>
      </c>
      <c r="AO555" s="401">
        <f t="shared" si="703"/>
        <v>51264.278472081562</v>
      </c>
      <c r="AP555" s="368">
        <f t="shared" si="703"/>
        <v>17088.092824027186</v>
      </c>
      <c r="AQ555" s="368">
        <f t="shared" si="704"/>
        <v>5126.427847208156</v>
      </c>
      <c r="AR555" s="368">
        <f t="shared" si="704"/>
        <v>0</v>
      </c>
      <c r="AS555" s="368">
        <f t="shared" si="704"/>
        <v>252.7</v>
      </c>
      <c r="AT555" s="368">
        <f t="shared" si="704"/>
        <v>8544.046412013593</v>
      </c>
      <c r="AU555" s="368">
        <f t="shared" si="704"/>
        <v>1708.8092824027185</v>
      </c>
      <c r="AV555" s="368">
        <f t="shared" si="704"/>
        <v>14205.3</v>
      </c>
      <c r="AW555" s="368">
        <f t="shared" si="704"/>
        <v>6262.1</v>
      </c>
      <c r="AX555" s="368">
        <f t="shared" si="704"/>
        <v>4058.3999999999996</v>
      </c>
      <c r="AY555" s="368">
        <f t="shared" si="704"/>
        <v>0</v>
      </c>
      <c r="AZ555" s="368">
        <f t="shared" si="704"/>
        <v>2358.1568097157519</v>
      </c>
      <c r="BB555" s="64"/>
      <c r="BC555" s="66"/>
      <c r="BD555" s="66"/>
      <c r="BE555" s="66"/>
    </row>
    <row r="556" spans="2:57" s="364" customFormat="1" ht="21" customHeight="1" x14ac:dyDescent="0.2">
      <c r="B556" s="365">
        <v>127</v>
      </c>
      <c r="C556" s="372" t="s">
        <v>66</v>
      </c>
      <c r="D556" s="365">
        <v>13153</v>
      </c>
      <c r="E556" s="371" t="s">
        <v>750</v>
      </c>
      <c r="F556" s="371" t="s">
        <v>724</v>
      </c>
      <c r="G556" s="363">
        <v>37517</v>
      </c>
      <c r="H556" s="56" t="str">
        <f t="shared" si="650"/>
        <v>22 AÑOS</v>
      </c>
      <c r="I556" s="57">
        <v>3170.3326204132072</v>
      </c>
      <c r="J556" s="58"/>
      <c r="K556" s="58"/>
      <c r="L556" s="59"/>
      <c r="M556" s="60">
        <v>7.7999999999999999E-4</v>
      </c>
      <c r="N556" s="61">
        <f t="shared" si="689"/>
        <v>247.28594439223016</v>
      </c>
      <c r="O556" s="58">
        <f t="shared" si="652"/>
        <v>3417.6185648054375</v>
      </c>
      <c r="P556" s="61">
        <f t="shared" si="653"/>
        <v>6835.2371296108749</v>
      </c>
      <c r="Q556" s="61">
        <f t="shared" si="654"/>
        <v>5126.427847208156</v>
      </c>
      <c r="R556" s="61">
        <f t="shared" si="655"/>
        <v>1708.8092824027187</v>
      </c>
      <c r="S556" s="61">
        <f t="shared" si="656"/>
        <v>227.84123765369583</v>
      </c>
      <c r="T556" s="58">
        <f t="shared" si="657"/>
        <v>261.53895670267741</v>
      </c>
      <c r="U556" s="61">
        <f t="shared" si="658"/>
        <v>2563.213923604078</v>
      </c>
      <c r="V556" s="58">
        <f t="shared" si="659"/>
        <v>854.40464120135937</v>
      </c>
      <c r="W556" s="101">
        <v>7.4999999999999997E-2</v>
      </c>
      <c r="X556" s="63">
        <f t="shared" si="660"/>
        <v>512.6427847208156</v>
      </c>
      <c r="Y556" s="61">
        <v>0</v>
      </c>
      <c r="Z556" s="61">
        <v>25.27</v>
      </c>
      <c r="AA556" s="61">
        <f t="shared" si="661"/>
        <v>854.40464120135937</v>
      </c>
      <c r="AB556" s="61">
        <f t="shared" si="662"/>
        <v>170.88092824027186</v>
      </c>
      <c r="AC556" s="61">
        <v>1420.53</v>
      </c>
      <c r="AD556" s="61">
        <v>626.21</v>
      </c>
      <c r="AE556" s="61">
        <v>405.84</v>
      </c>
      <c r="AF556" s="61">
        <v>0</v>
      </c>
      <c r="AG556" s="61">
        <f t="shared" si="663"/>
        <v>235.81568097157518</v>
      </c>
      <c r="AH556" s="64"/>
      <c r="AI556" s="64"/>
      <c r="AJ556" s="365">
        <v>127</v>
      </c>
      <c r="AK556" s="372" t="s">
        <v>66</v>
      </c>
      <c r="AL556" s="365">
        <v>13153</v>
      </c>
      <c r="AM556" s="371" t="s">
        <v>750</v>
      </c>
      <c r="AN556" s="371" t="s">
        <v>724</v>
      </c>
      <c r="AO556" s="401">
        <f t="shared" si="703"/>
        <v>51264.278472081562</v>
      </c>
      <c r="AP556" s="368">
        <f t="shared" si="703"/>
        <v>17088.092824027186</v>
      </c>
      <c r="AQ556" s="368">
        <f t="shared" si="704"/>
        <v>5126.427847208156</v>
      </c>
      <c r="AR556" s="368">
        <f t="shared" si="704"/>
        <v>0</v>
      </c>
      <c r="AS556" s="368">
        <f t="shared" si="704"/>
        <v>252.7</v>
      </c>
      <c r="AT556" s="368">
        <f t="shared" si="704"/>
        <v>8544.046412013593</v>
      </c>
      <c r="AU556" s="368">
        <f t="shared" si="704"/>
        <v>1708.8092824027185</v>
      </c>
      <c r="AV556" s="368">
        <f t="shared" si="704"/>
        <v>14205.3</v>
      </c>
      <c r="AW556" s="368">
        <f t="shared" si="704"/>
        <v>6262.1</v>
      </c>
      <c r="AX556" s="368">
        <f t="shared" si="704"/>
        <v>4058.3999999999996</v>
      </c>
      <c r="AY556" s="368">
        <f t="shared" si="704"/>
        <v>0</v>
      </c>
      <c r="AZ556" s="368">
        <f t="shared" si="704"/>
        <v>2358.1568097157519</v>
      </c>
      <c r="BB556" s="64"/>
      <c r="BC556" s="66"/>
      <c r="BD556" s="66"/>
      <c r="BE556" s="66"/>
    </row>
    <row r="557" spans="2:57" s="364" customFormat="1" ht="21" customHeight="1" x14ac:dyDescent="0.2">
      <c r="B557" s="365">
        <v>128</v>
      </c>
      <c r="C557" s="372" t="s">
        <v>66</v>
      </c>
      <c r="D557" s="365">
        <v>13408</v>
      </c>
      <c r="E557" s="372" t="s">
        <v>751</v>
      </c>
      <c r="F557" s="371" t="s">
        <v>724</v>
      </c>
      <c r="G557" s="363">
        <v>45474</v>
      </c>
      <c r="H557" s="56" t="str">
        <f t="shared" si="650"/>
        <v>0 AÑOS</v>
      </c>
      <c r="I557" s="57">
        <v>3170.3326204132072</v>
      </c>
      <c r="J557" s="58"/>
      <c r="K557" s="58"/>
      <c r="L557" s="59"/>
      <c r="M557" s="60">
        <v>7.7999999999999999E-4</v>
      </c>
      <c r="N557" s="61">
        <f t="shared" si="689"/>
        <v>247.28594439223016</v>
      </c>
      <c r="O557" s="58">
        <f t="shared" si="652"/>
        <v>3417.6185648054375</v>
      </c>
      <c r="P557" s="61">
        <f t="shared" si="653"/>
        <v>6835.2371296108749</v>
      </c>
      <c r="Q557" s="61">
        <f t="shared" si="654"/>
        <v>5126.427847208156</v>
      </c>
      <c r="R557" s="61">
        <f t="shared" si="655"/>
        <v>1708.8092824027187</v>
      </c>
      <c r="S557" s="61">
        <f t="shared" si="656"/>
        <v>227.84123765369583</v>
      </c>
      <c r="T557" s="58">
        <f t="shared" si="657"/>
        <v>261.53895670267741</v>
      </c>
      <c r="U557" s="61">
        <f t="shared" si="658"/>
        <v>2563.213923604078</v>
      </c>
      <c r="V557" s="58">
        <f t="shared" si="659"/>
        <v>854.40464120135937</v>
      </c>
      <c r="W557" s="101">
        <v>2.5000000000000001E-2</v>
      </c>
      <c r="X557" s="63">
        <f t="shared" si="660"/>
        <v>170.88092824027188</v>
      </c>
      <c r="Y557" s="61">
        <v>0</v>
      </c>
      <c r="Z557" s="61">
        <v>25.27</v>
      </c>
      <c r="AA557" s="61">
        <f t="shared" si="661"/>
        <v>854.40464120135937</v>
      </c>
      <c r="AB557" s="61">
        <f t="shared" si="662"/>
        <v>170.88092824027186</v>
      </c>
      <c r="AC557" s="61">
        <v>1420.53</v>
      </c>
      <c r="AD557" s="61">
        <v>626.21</v>
      </c>
      <c r="AE557" s="61">
        <v>405.84</v>
      </c>
      <c r="AF557" s="61">
        <v>0</v>
      </c>
      <c r="AG557" s="61">
        <f t="shared" si="663"/>
        <v>235.81568097157518</v>
      </c>
      <c r="AH557" s="64"/>
      <c r="AI557" s="64"/>
      <c r="AJ557" s="365">
        <v>128</v>
      </c>
      <c r="AK557" s="372" t="s">
        <v>66</v>
      </c>
      <c r="AL557" s="365">
        <v>13408</v>
      </c>
      <c r="AM557" s="372" t="s">
        <v>751</v>
      </c>
      <c r="AN557" s="371" t="s">
        <v>724</v>
      </c>
      <c r="AO557" s="401">
        <f t="shared" si="703"/>
        <v>51264.278472081562</v>
      </c>
      <c r="AP557" s="368">
        <f t="shared" si="703"/>
        <v>17088.092824027186</v>
      </c>
      <c r="AQ557" s="368">
        <f t="shared" si="704"/>
        <v>1708.809282402719</v>
      </c>
      <c r="AR557" s="368">
        <f t="shared" si="704"/>
        <v>0</v>
      </c>
      <c r="AS557" s="368">
        <f t="shared" si="704"/>
        <v>252.7</v>
      </c>
      <c r="AT557" s="368">
        <f t="shared" si="704"/>
        <v>8544.046412013593</v>
      </c>
      <c r="AU557" s="368">
        <f t="shared" si="704"/>
        <v>1708.8092824027185</v>
      </c>
      <c r="AV557" s="368">
        <f t="shared" si="704"/>
        <v>14205.3</v>
      </c>
      <c r="AW557" s="368">
        <f t="shared" si="704"/>
        <v>6262.1</v>
      </c>
      <c r="AX557" s="368">
        <f t="shared" si="704"/>
        <v>4058.3999999999996</v>
      </c>
      <c r="AY557" s="368">
        <f t="shared" si="704"/>
        <v>0</v>
      </c>
      <c r="AZ557" s="368">
        <f t="shared" si="704"/>
        <v>2358.1568097157519</v>
      </c>
      <c r="BB557" s="64"/>
      <c r="BC557" s="66"/>
      <c r="BD557" s="66"/>
      <c r="BE557" s="66"/>
    </row>
    <row r="558" spans="2:57" s="364" customFormat="1" ht="21" customHeight="1" x14ac:dyDescent="0.2">
      <c r="B558" s="365">
        <v>129</v>
      </c>
      <c r="C558" s="372" t="s">
        <v>66</v>
      </c>
      <c r="D558" s="365">
        <v>13400</v>
      </c>
      <c r="E558" s="364" t="s">
        <v>752</v>
      </c>
      <c r="F558" s="371" t="s">
        <v>753</v>
      </c>
      <c r="G558" s="431">
        <v>45352</v>
      </c>
      <c r="H558" s="372" t="str">
        <f t="shared" si="650"/>
        <v>0 AÑOS</v>
      </c>
      <c r="I558" s="57">
        <v>2913.9709727340119</v>
      </c>
      <c r="J558" s="58"/>
      <c r="K558" s="58"/>
      <c r="L558" s="59"/>
      <c r="M558" s="60">
        <v>1.74E-3</v>
      </c>
      <c r="N558" s="61">
        <f t="shared" ref="N558:N560" si="705">I558*0.174</f>
        <v>507.03094925571804</v>
      </c>
      <c r="O558" s="58">
        <f t="shared" si="652"/>
        <v>3421.0019219897299</v>
      </c>
      <c r="P558" s="61">
        <f t="shared" si="653"/>
        <v>6842.0038439794598</v>
      </c>
      <c r="Q558" s="61">
        <f t="shared" si="654"/>
        <v>5131.5028829845951</v>
      </c>
      <c r="R558" s="61">
        <f t="shared" si="655"/>
        <v>1710.500960994865</v>
      </c>
      <c r="S558" s="61">
        <f t="shared" si="656"/>
        <v>228.06679479931532</v>
      </c>
      <c r="T558" s="58">
        <f t="shared" si="657"/>
        <v>261.79787375013404</v>
      </c>
      <c r="U558" s="61">
        <f t="shared" si="658"/>
        <v>2565.7514414922975</v>
      </c>
      <c r="V558" s="58">
        <f t="shared" si="659"/>
        <v>855.25048049743248</v>
      </c>
      <c r="W558" s="101">
        <v>2.5000000000000001E-2</v>
      </c>
      <c r="X558" s="63">
        <f t="shared" si="660"/>
        <v>171.0500960994865</v>
      </c>
      <c r="Y558" s="61">
        <v>0</v>
      </c>
      <c r="Z558" s="61">
        <v>25.27</v>
      </c>
      <c r="AA558" s="61">
        <f t="shared" si="661"/>
        <v>855.25048049743248</v>
      </c>
      <c r="AB558" s="61">
        <f t="shared" si="662"/>
        <v>171.0500960994865</v>
      </c>
      <c r="AC558" s="61">
        <v>1420.53</v>
      </c>
      <c r="AD558" s="61">
        <v>626.21</v>
      </c>
      <c r="AE558" s="61">
        <v>405.84</v>
      </c>
      <c r="AF558" s="61">
        <v>0</v>
      </c>
      <c r="AG558" s="61">
        <f t="shared" si="663"/>
        <v>236.04913261729135</v>
      </c>
      <c r="AH558" s="64"/>
      <c r="AI558" s="64"/>
      <c r="AJ558" s="365">
        <v>129</v>
      </c>
      <c r="AK558" s="372" t="s">
        <v>66</v>
      </c>
      <c r="AL558" s="365">
        <v>13400</v>
      </c>
      <c r="AM558" s="364" t="s">
        <v>752</v>
      </c>
      <c r="AN558" s="371" t="s">
        <v>753</v>
      </c>
      <c r="AO558" s="401">
        <f t="shared" si="703"/>
        <v>51315.028829845949</v>
      </c>
      <c r="AP558" s="368">
        <f t="shared" si="703"/>
        <v>17105.009609948651</v>
      </c>
      <c r="AQ558" s="368">
        <f t="shared" si="704"/>
        <v>1710.500960994865</v>
      </c>
      <c r="AR558" s="368">
        <f t="shared" si="704"/>
        <v>0</v>
      </c>
      <c r="AS558" s="368">
        <f t="shared" si="704"/>
        <v>252.7</v>
      </c>
      <c r="AT558" s="368">
        <f t="shared" si="704"/>
        <v>8552.5048049743255</v>
      </c>
      <c r="AU558" s="368">
        <f t="shared" si="704"/>
        <v>1710.500960994865</v>
      </c>
      <c r="AV558" s="368">
        <f t="shared" si="704"/>
        <v>14205.3</v>
      </c>
      <c r="AW558" s="368">
        <f t="shared" si="704"/>
        <v>6262.1</v>
      </c>
      <c r="AX558" s="368">
        <f t="shared" si="704"/>
        <v>4058.3999999999996</v>
      </c>
      <c r="AY558" s="368">
        <f t="shared" si="704"/>
        <v>0</v>
      </c>
      <c r="AZ558" s="368">
        <f t="shared" si="704"/>
        <v>2360.4913261729134</v>
      </c>
      <c r="BB558" s="64"/>
      <c r="BC558" s="66"/>
      <c r="BD558" s="66"/>
      <c r="BE558" s="66"/>
    </row>
    <row r="559" spans="2:57" s="364" customFormat="1" ht="21" customHeight="1" x14ac:dyDescent="0.2">
      <c r="B559" s="365">
        <v>130</v>
      </c>
      <c r="C559" s="372" t="s">
        <v>66</v>
      </c>
      <c r="D559" s="365">
        <v>13341</v>
      </c>
      <c r="E559" s="372" t="s">
        <v>754</v>
      </c>
      <c r="F559" s="371" t="s">
        <v>753</v>
      </c>
      <c r="G559" s="363">
        <v>43252</v>
      </c>
      <c r="H559" s="56" t="str">
        <f t="shared" si="650"/>
        <v>6 AÑOS</v>
      </c>
      <c r="I559" s="57">
        <v>2913.9709727340119</v>
      </c>
      <c r="J559" s="58"/>
      <c r="K559" s="58"/>
      <c r="L559" s="59"/>
      <c r="M559" s="60">
        <v>1.74E-3</v>
      </c>
      <c r="N559" s="61">
        <f t="shared" si="705"/>
        <v>507.03094925571804</v>
      </c>
      <c r="O559" s="58">
        <f t="shared" si="652"/>
        <v>3421.0019219897299</v>
      </c>
      <c r="P559" s="61">
        <f t="shared" si="653"/>
        <v>6842.0038439794598</v>
      </c>
      <c r="Q559" s="61">
        <f t="shared" si="654"/>
        <v>5131.5028829845951</v>
      </c>
      <c r="R559" s="61">
        <f t="shared" si="655"/>
        <v>1710.500960994865</v>
      </c>
      <c r="S559" s="61">
        <f t="shared" si="656"/>
        <v>228.06679479931532</v>
      </c>
      <c r="T559" s="58">
        <f t="shared" si="657"/>
        <v>261.79787375013404</v>
      </c>
      <c r="U559" s="61">
        <f t="shared" si="658"/>
        <v>2565.7514414922975</v>
      </c>
      <c r="V559" s="58">
        <f t="shared" si="659"/>
        <v>855.25048049743248</v>
      </c>
      <c r="W559" s="101">
        <v>2.5000000000000001E-2</v>
      </c>
      <c r="X559" s="63">
        <f t="shared" si="660"/>
        <v>171.0500960994865</v>
      </c>
      <c r="Y559" s="61">
        <v>0</v>
      </c>
      <c r="Z559" s="61">
        <v>25.27</v>
      </c>
      <c r="AA559" s="61">
        <f t="shared" si="661"/>
        <v>855.25048049743248</v>
      </c>
      <c r="AB559" s="61">
        <f t="shared" si="662"/>
        <v>171.0500960994865</v>
      </c>
      <c r="AC559" s="61">
        <v>1420.53</v>
      </c>
      <c r="AD559" s="61">
        <v>626.21</v>
      </c>
      <c r="AE559" s="61">
        <v>405.84</v>
      </c>
      <c r="AF559" s="61">
        <v>0</v>
      </c>
      <c r="AG559" s="61">
        <f t="shared" si="663"/>
        <v>236.04913261729135</v>
      </c>
      <c r="AH559" s="64"/>
      <c r="AI559" s="64"/>
      <c r="AJ559" s="365">
        <v>130</v>
      </c>
      <c r="AK559" s="372" t="s">
        <v>66</v>
      </c>
      <c r="AL559" s="365">
        <v>13341</v>
      </c>
      <c r="AM559" s="372" t="s">
        <v>754</v>
      </c>
      <c r="AN559" s="371" t="s">
        <v>753</v>
      </c>
      <c r="AO559" s="401">
        <f t="shared" si="703"/>
        <v>51315.028829845949</v>
      </c>
      <c r="AP559" s="368">
        <f t="shared" si="703"/>
        <v>17105.009609948651</v>
      </c>
      <c r="AQ559" s="368">
        <f t="shared" si="704"/>
        <v>1710.500960994865</v>
      </c>
      <c r="AR559" s="368">
        <f t="shared" si="704"/>
        <v>0</v>
      </c>
      <c r="AS559" s="368">
        <f t="shared" si="704"/>
        <v>252.7</v>
      </c>
      <c r="AT559" s="368">
        <f t="shared" si="704"/>
        <v>8552.5048049743255</v>
      </c>
      <c r="AU559" s="368">
        <f t="shared" si="704"/>
        <v>1710.500960994865</v>
      </c>
      <c r="AV559" s="368">
        <f t="shared" si="704"/>
        <v>14205.3</v>
      </c>
      <c r="AW559" s="368">
        <f t="shared" si="704"/>
        <v>6262.1</v>
      </c>
      <c r="AX559" s="368">
        <f t="shared" si="704"/>
        <v>4058.3999999999996</v>
      </c>
      <c r="AY559" s="368">
        <f t="shared" si="704"/>
        <v>0</v>
      </c>
      <c r="AZ559" s="368">
        <f t="shared" si="704"/>
        <v>2360.4913261729134</v>
      </c>
      <c r="BB559" s="64"/>
      <c r="BC559" s="66"/>
      <c r="BD559" s="66"/>
      <c r="BE559" s="66"/>
    </row>
    <row r="560" spans="2:57" s="364" customFormat="1" ht="21" customHeight="1" x14ac:dyDescent="0.2">
      <c r="B560" s="365">
        <v>131</v>
      </c>
      <c r="C560" s="372" t="s">
        <v>66</v>
      </c>
      <c r="D560" s="365">
        <v>13374</v>
      </c>
      <c r="E560" s="371" t="s">
        <v>755</v>
      </c>
      <c r="F560" s="371" t="s">
        <v>753</v>
      </c>
      <c r="G560" s="398">
        <v>44256</v>
      </c>
      <c r="H560" s="56" t="str">
        <f t="shared" si="650"/>
        <v>3 AÑOS</v>
      </c>
      <c r="I560" s="57">
        <v>2913.9709727340119</v>
      </c>
      <c r="J560" s="58"/>
      <c r="K560" s="58"/>
      <c r="L560" s="59"/>
      <c r="M560" s="60">
        <v>1.74E-3</v>
      </c>
      <c r="N560" s="61">
        <f t="shared" si="705"/>
        <v>507.03094925571804</v>
      </c>
      <c r="O560" s="58">
        <f t="shared" si="652"/>
        <v>3421.0019219897299</v>
      </c>
      <c r="P560" s="61">
        <f t="shared" si="653"/>
        <v>6842.0038439794598</v>
      </c>
      <c r="Q560" s="61">
        <f t="shared" si="654"/>
        <v>5131.5028829845951</v>
      </c>
      <c r="R560" s="61">
        <f t="shared" si="655"/>
        <v>1710.500960994865</v>
      </c>
      <c r="S560" s="61">
        <f t="shared" si="656"/>
        <v>228.06679479931532</v>
      </c>
      <c r="T560" s="58">
        <f t="shared" si="657"/>
        <v>261.79787375013404</v>
      </c>
      <c r="U560" s="61">
        <f t="shared" si="658"/>
        <v>2565.7514414922975</v>
      </c>
      <c r="V560" s="58">
        <f t="shared" si="659"/>
        <v>855.25048049743248</v>
      </c>
      <c r="W560" s="101">
        <v>0</v>
      </c>
      <c r="X560" s="63">
        <f t="shared" si="660"/>
        <v>0</v>
      </c>
      <c r="Y560" s="61">
        <v>0</v>
      </c>
      <c r="Z560" s="61">
        <v>25.27</v>
      </c>
      <c r="AA560" s="61">
        <f t="shared" si="661"/>
        <v>855.25048049743248</v>
      </c>
      <c r="AB560" s="61">
        <f t="shared" si="662"/>
        <v>171.0500960994865</v>
      </c>
      <c r="AC560" s="61">
        <v>1420.53</v>
      </c>
      <c r="AD560" s="61">
        <v>626.21</v>
      </c>
      <c r="AE560" s="61">
        <v>405.84</v>
      </c>
      <c r="AF560" s="61">
        <v>0</v>
      </c>
      <c r="AG560" s="61">
        <f t="shared" si="663"/>
        <v>236.04913261729135</v>
      </c>
      <c r="AH560" s="64"/>
      <c r="AI560" s="64"/>
      <c r="AJ560" s="365">
        <v>131</v>
      </c>
      <c r="AK560" s="372" t="s">
        <v>66</v>
      </c>
      <c r="AL560" s="365">
        <v>13374</v>
      </c>
      <c r="AM560" s="371" t="s">
        <v>755</v>
      </c>
      <c r="AN560" s="371" t="s">
        <v>753</v>
      </c>
      <c r="AO560" s="401">
        <f t="shared" si="703"/>
        <v>51315.028829845949</v>
      </c>
      <c r="AP560" s="368">
        <f t="shared" si="703"/>
        <v>17105.009609948651</v>
      </c>
      <c r="AQ560" s="368">
        <f t="shared" si="704"/>
        <v>0</v>
      </c>
      <c r="AR560" s="368">
        <f t="shared" si="704"/>
        <v>0</v>
      </c>
      <c r="AS560" s="368">
        <f t="shared" si="704"/>
        <v>252.7</v>
      </c>
      <c r="AT560" s="368">
        <f t="shared" si="704"/>
        <v>8552.5048049743255</v>
      </c>
      <c r="AU560" s="368">
        <f t="shared" si="704"/>
        <v>1710.500960994865</v>
      </c>
      <c r="AV560" s="368">
        <f t="shared" si="704"/>
        <v>14205.3</v>
      </c>
      <c r="AW560" s="368">
        <f t="shared" si="704"/>
        <v>6262.1</v>
      </c>
      <c r="AX560" s="368">
        <f t="shared" si="704"/>
        <v>4058.3999999999996</v>
      </c>
      <c r="AY560" s="368">
        <f t="shared" si="704"/>
        <v>0</v>
      </c>
      <c r="AZ560" s="368">
        <f t="shared" si="704"/>
        <v>2360.4913261729134</v>
      </c>
      <c r="BB560" s="64"/>
      <c r="BC560" s="66"/>
      <c r="BD560" s="66"/>
      <c r="BE560" s="66"/>
    </row>
    <row r="561" spans="2:57" s="364" customFormat="1" ht="21" customHeight="1" x14ac:dyDescent="0.2">
      <c r="B561" s="365">
        <v>132</v>
      </c>
      <c r="C561" s="372" t="s">
        <v>66</v>
      </c>
      <c r="D561" s="365">
        <v>13156</v>
      </c>
      <c r="E561" s="371" t="s">
        <v>756</v>
      </c>
      <c r="F561" s="112" t="s">
        <v>757</v>
      </c>
      <c r="G561" s="363">
        <v>37622</v>
      </c>
      <c r="H561" s="56" t="str">
        <f t="shared" si="650"/>
        <v>21 AÑOS</v>
      </c>
      <c r="I561" s="57">
        <v>3170.3326204132072</v>
      </c>
      <c r="J561" s="58"/>
      <c r="K561" s="58"/>
      <c r="L561" s="59"/>
      <c r="M561" s="60">
        <v>7.7999999999999999E-4</v>
      </c>
      <c r="N561" s="61">
        <f t="shared" ref="N561:N565" si="706">I561*0.078</f>
        <v>247.28594439223016</v>
      </c>
      <c r="O561" s="58">
        <f t="shared" si="652"/>
        <v>3417.6185648054375</v>
      </c>
      <c r="P561" s="61">
        <f t="shared" si="653"/>
        <v>6835.2371296108749</v>
      </c>
      <c r="Q561" s="61">
        <f t="shared" si="654"/>
        <v>5126.427847208156</v>
      </c>
      <c r="R561" s="61">
        <f t="shared" si="655"/>
        <v>1708.8092824027187</v>
      </c>
      <c r="S561" s="61">
        <f t="shared" si="656"/>
        <v>227.84123765369583</v>
      </c>
      <c r="T561" s="58">
        <f t="shared" si="657"/>
        <v>261.53895670267741</v>
      </c>
      <c r="U561" s="61">
        <f t="shared" si="658"/>
        <v>2563.213923604078</v>
      </c>
      <c r="V561" s="58">
        <f t="shared" si="659"/>
        <v>854.40464120135937</v>
      </c>
      <c r="W561" s="101">
        <v>7.4999999999999997E-2</v>
      </c>
      <c r="X561" s="63">
        <f t="shared" si="660"/>
        <v>512.6427847208156</v>
      </c>
      <c r="Y561" s="61">
        <v>0</v>
      </c>
      <c r="Z561" s="61">
        <v>25.27</v>
      </c>
      <c r="AA561" s="61">
        <f t="shared" si="661"/>
        <v>854.40464120135937</v>
      </c>
      <c r="AB561" s="61">
        <f t="shared" si="662"/>
        <v>170.88092824027186</v>
      </c>
      <c r="AC561" s="61">
        <v>1420.53</v>
      </c>
      <c r="AD561" s="61">
        <v>626.21</v>
      </c>
      <c r="AE561" s="61">
        <v>405.84</v>
      </c>
      <c r="AF561" s="61">
        <v>0</v>
      </c>
      <c r="AG561" s="61">
        <f t="shared" si="663"/>
        <v>235.81568097157518</v>
      </c>
      <c r="AH561" s="64"/>
      <c r="AI561" s="64"/>
      <c r="AJ561" s="365">
        <v>132</v>
      </c>
      <c r="AK561" s="372" t="s">
        <v>66</v>
      </c>
      <c r="AL561" s="365">
        <v>13156</v>
      </c>
      <c r="AM561" s="371" t="s">
        <v>756</v>
      </c>
      <c r="AN561" s="112" t="s">
        <v>757</v>
      </c>
      <c r="AO561" s="401">
        <f t="shared" si="703"/>
        <v>51264.278472081562</v>
      </c>
      <c r="AP561" s="368">
        <f t="shared" si="703"/>
        <v>17088.092824027186</v>
      </c>
      <c r="AQ561" s="368">
        <f t="shared" si="704"/>
        <v>5126.427847208156</v>
      </c>
      <c r="AR561" s="368">
        <f t="shared" si="704"/>
        <v>0</v>
      </c>
      <c r="AS561" s="368">
        <f t="shared" si="704"/>
        <v>252.7</v>
      </c>
      <c r="AT561" s="368">
        <f t="shared" si="704"/>
        <v>8544.046412013593</v>
      </c>
      <c r="AU561" s="368">
        <f t="shared" si="704"/>
        <v>1708.8092824027185</v>
      </c>
      <c r="AV561" s="368">
        <f t="shared" si="704"/>
        <v>14205.3</v>
      </c>
      <c r="AW561" s="368">
        <f t="shared" si="704"/>
        <v>6262.1</v>
      </c>
      <c r="AX561" s="368">
        <f t="shared" si="704"/>
        <v>4058.3999999999996</v>
      </c>
      <c r="AY561" s="368">
        <f t="shared" si="704"/>
        <v>0</v>
      </c>
      <c r="AZ561" s="368">
        <f t="shared" si="704"/>
        <v>2358.1568097157519</v>
      </c>
      <c r="BB561" s="64"/>
      <c r="BC561" s="66"/>
      <c r="BD561" s="66"/>
      <c r="BE561" s="66"/>
    </row>
    <row r="562" spans="2:57" s="364" customFormat="1" ht="21" customHeight="1" x14ac:dyDescent="0.2">
      <c r="B562" s="365">
        <v>133</v>
      </c>
      <c r="C562" s="372" t="s">
        <v>66</v>
      </c>
      <c r="D562" s="365"/>
      <c r="E562" s="375" t="s">
        <v>55</v>
      </c>
      <c r="F562" s="112" t="s">
        <v>757</v>
      </c>
      <c r="G562" s="55">
        <v>38458</v>
      </c>
      <c r="H562" s="55" t="str">
        <f t="shared" ref="H562:H603" si="707" xml:space="preserve"> CONCATENATE(DATEDIF(G562,H$5,"Y")," AÑOS")</f>
        <v>19 AÑOS</v>
      </c>
      <c r="I562" s="57">
        <v>3170.3326204132072</v>
      </c>
      <c r="J562" s="57"/>
      <c r="K562" s="57"/>
      <c r="L562" s="74"/>
      <c r="M562" s="171">
        <v>7.7999999999999999E-4</v>
      </c>
      <c r="N562" s="81">
        <f t="shared" si="706"/>
        <v>247.28594439223016</v>
      </c>
      <c r="O562" s="57">
        <f t="shared" ref="O562:O603" si="708">I562+N562</f>
        <v>3417.6185648054375</v>
      </c>
      <c r="P562" s="81">
        <f t="shared" ref="P562:P603" si="709">O562*2</f>
        <v>6835.2371296108749</v>
      </c>
      <c r="Q562" s="81">
        <f t="shared" ref="Q562:Q603" si="710">P562*0.75</f>
        <v>5126.427847208156</v>
      </c>
      <c r="R562" s="81">
        <f t="shared" ref="R562:R603" si="711">P562*0.25</f>
        <v>1708.8092824027187</v>
      </c>
      <c r="S562" s="81">
        <f t="shared" ref="S562:S603" si="712">(P562/30)</f>
        <v>227.84123765369583</v>
      </c>
      <c r="T562" s="57">
        <f t="shared" ref="T562:T625" si="713">S562*1.1479</f>
        <v>261.53895670267741</v>
      </c>
      <c r="U562" s="81">
        <f t="shared" ref="U562:U603" si="714">O562*0.75</f>
        <v>2563.213923604078</v>
      </c>
      <c r="V562" s="57">
        <f t="shared" ref="V562:V603" si="715">O562*0.25</f>
        <v>854.40464120135937</v>
      </c>
      <c r="W562" s="101">
        <v>7.4999999999999997E-2</v>
      </c>
      <c r="X562" s="158">
        <f t="shared" ref="X562:X603" si="716">P562*W562</f>
        <v>512.6427847208156</v>
      </c>
      <c r="Y562" s="81">
        <v>0</v>
      </c>
      <c r="Z562" s="81">
        <v>25.27</v>
      </c>
      <c r="AA562" s="81">
        <f t="shared" ref="AA562:AA603" si="717">(S562*45)/12</f>
        <v>854.40464120135937</v>
      </c>
      <c r="AB562" s="81">
        <f t="shared" ref="AB562:AB603" si="718">(S562*10)*(0.45*2)/12</f>
        <v>170.88092824027186</v>
      </c>
      <c r="AC562" s="81">
        <v>1420.53</v>
      </c>
      <c r="AD562" s="81">
        <v>626.21</v>
      </c>
      <c r="AE562" s="81">
        <v>405.84</v>
      </c>
      <c r="AF562" s="81">
        <v>0</v>
      </c>
      <c r="AG562" s="81">
        <f t="shared" ref="AG562:AG603" si="719">(P562+AA562+AB562)*0.03</f>
        <v>235.81568097157518</v>
      </c>
      <c r="AH562" s="64"/>
      <c r="AI562" s="64"/>
      <c r="AJ562" s="365">
        <v>133</v>
      </c>
      <c r="AK562" s="372" t="s">
        <v>66</v>
      </c>
      <c r="AL562" s="365"/>
      <c r="AM562" s="375" t="s">
        <v>55</v>
      </c>
      <c r="AN562" s="112" t="s">
        <v>757</v>
      </c>
      <c r="AO562" s="401">
        <f>Q562*7.5</f>
        <v>38448.208854061173</v>
      </c>
      <c r="AP562" s="368">
        <f>R562*7.5</f>
        <v>12816.06961802039</v>
      </c>
      <c r="AQ562" s="368">
        <f t="shared" ref="AQ562:AZ562" si="720">X562*7.5</f>
        <v>3844.8208854061168</v>
      </c>
      <c r="AR562" s="368">
        <f t="shared" si="720"/>
        <v>0</v>
      </c>
      <c r="AS562" s="368">
        <f t="shared" si="720"/>
        <v>189.52500000000001</v>
      </c>
      <c r="AT562" s="368">
        <f t="shared" si="720"/>
        <v>6408.0348090101952</v>
      </c>
      <c r="AU562" s="368">
        <f t="shared" si="720"/>
        <v>1281.606961802039</v>
      </c>
      <c r="AV562" s="368">
        <f t="shared" si="720"/>
        <v>10653.975</v>
      </c>
      <c r="AW562" s="368">
        <f t="shared" si="720"/>
        <v>4696.5750000000007</v>
      </c>
      <c r="AX562" s="368">
        <f t="shared" si="720"/>
        <v>3043.7999999999997</v>
      </c>
      <c r="AY562" s="368">
        <f t="shared" si="720"/>
        <v>0</v>
      </c>
      <c r="AZ562" s="368">
        <f t="shared" si="720"/>
        <v>1768.6176072868138</v>
      </c>
      <c r="BB562" s="64"/>
      <c r="BC562" s="66"/>
      <c r="BD562" s="66"/>
      <c r="BE562" s="66"/>
    </row>
    <row r="563" spans="2:57" s="364" customFormat="1" ht="21" customHeight="1" x14ac:dyDescent="0.2">
      <c r="B563" s="365">
        <v>134</v>
      </c>
      <c r="C563" s="372" t="s">
        <v>66</v>
      </c>
      <c r="D563" s="365">
        <v>13200</v>
      </c>
      <c r="E563" s="371" t="s">
        <v>758</v>
      </c>
      <c r="F563" s="112" t="s">
        <v>757</v>
      </c>
      <c r="G563" s="55">
        <v>37712</v>
      </c>
      <c r="H563" s="55" t="str">
        <f t="shared" si="707"/>
        <v>21 AÑOS</v>
      </c>
      <c r="I563" s="57">
        <v>3170.3326204132072</v>
      </c>
      <c r="J563" s="57"/>
      <c r="K563" s="57"/>
      <c r="L563" s="74"/>
      <c r="M563" s="171">
        <v>7.7999999999999999E-4</v>
      </c>
      <c r="N563" s="81">
        <f t="shared" si="706"/>
        <v>247.28594439223016</v>
      </c>
      <c r="O563" s="57">
        <f t="shared" si="708"/>
        <v>3417.6185648054375</v>
      </c>
      <c r="P563" s="81">
        <f t="shared" si="709"/>
        <v>6835.2371296108749</v>
      </c>
      <c r="Q563" s="81">
        <f t="shared" si="710"/>
        <v>5126.427847208156</v>
      </c>
      <c r="R563" s="81">
        <f t="shared" si="711"/>
        <v>1708.8092824027187</v>
      </c>
      <c r="S563" s="81">
        <f t="shared" si="712"/>
        <v>227.84123765369583</v>
      </c>
      <c r="T563" s="57">
        <f t="shared" si="713"/>
        <v>261.53895670267741</v>
      </c>
      <c r="U563" s="81">
        <f t="shared" si="714"/>
        <v>2563.213923604078</v>
      </c>
      <c r="V563" s="57">
        <f t="shared" si="715"/>
        <v>854.40464120135937</v>
      </c>
      <c r="W563" s="101">
        <v>7.4999999999999997E-2</v>
      </c>
      <c r="X563" s="158">
        <f t="shared" si="716"/>
        <v>512.6427847208156</v>
      </c>
      <c r="Y563" s="81">
        <v>0</v>
      </c>
      <c r="Z563" s="81">
        <v>25.27</v>
      </c>
      <c r="AA563" s="81">
        <f t="shared" si="717"/>
        <v>854.40464120135937</v>
      </c>
      <c r="AB563" s="81">
        <f t="shared" si="718"/>
        <v>170.88092824027186</v>
      </c>
      <c r="AC563" s="81">
        <v>1420.53</v>
      </c>
      <c r="AD563" s="81">
        <v>626.21</v>
      </c>
      <c r="AE563" s="81">
        <v>405.84</v>
      </c>
      <c r="AF563" s="81">
        <v>0</v>
      </c>
      <c r="AG563" s="81">
        <f t="shared" si="719"/>
        <v>235.81568097157518</v>
      </c>
      <c r="AH563" s="64"/>
      <c r="AI563" s="64"/>
      <c r="AJ563" s="365">
        <v>134</v>
      </c>
      <c r="AK563" s="372" t="s">
        <v>66</v>
      </c>
      <c r="AL563" s="365">
        <v>13200</v>
      </c>
      <c r="AM563" s="371" t="s">
        <v>758</v>
      </c>
      <c r="AN563" s="112" t="s">
        <v>757</v>
      </c>
      <c r="AO563" s="401">
        <f t="shared" ref="AO563:AP566" si="721">Q563*10</f>
        <v>51264.278472081562</v>
      </c>
      <c r="AP563" s="368">
        <f t="shared" si="721"/>
        <v>17088.092824027186</v>
      </c>
      <c r="AQ563" s="368">
        <f t="shared" ref="AQ563:AZ566" si="722">X563*10</f>
        <v>5126.427847208156</v>
      </c>
      <c r="AR563" s="368">
        <f t="shared" si="722"/>
        <v>0</v>
      </c>
      <c r="AS563" s="368">
        <f t="shared" si="722"/>
        <v>252.7</v>
      </c>
      <c r="AT563" s="368">
        <f t="shared" si="722"/>
        <v>8544.046412013593</v>
      </c>
      <c r="AU563" s="368">
        <f t="shared" si="722"/>
        <v>1708.8092824027185</v>
      </c>
      <c r="AV563" s="368">
        <f t="shared" si="722"/>
        <v>14205.3</v>
      </c>
      <c r="AW563" s="368">
        <f t="shared" si="722"/>
        <v>6262.1</v>
      </c>
      <c r="AX563" s="368">
        <f t="shared" si="722"/>
        <v>4058.3999999999996</v>
      </c>
      <c r="AY563" s="368">
        <f t="shared" si="722"/>
        <v>0</v>
      </c>
      <c r="AZ563" s="368">
        <f t="shared" si="722"/>
        <v>2358.1568097157519</v>
      </c>
      <c r="BB563" s="64"/>
      <c r="BC563" s="66"/>
      <c r="BD563" s="66"/>
      <c r="BE563" s="66"/>
    </row>
    <row r="564" spans="2:57" ht="21" customHeight="1" x14ac:dyDescent="0.2">
      <c r="B564" s="67">
        <v>135</v>
      </c>
      <c r="C564" s="73" t="s">
        <v>66</v>
      </c>
      <c r="D564" s="67">
        <v>13378</v>
      </c>
      <c r="E564" s="73" t="s">
        <v>759</v>
      </c>
      <c r="F564" s="112" t="s">
        <v>757</v>
      </c>
      <c r="G564" s="55">
        <v>44643</v>
      </c>
      <c r="H564" s="55" t="str">
        <f t="shared" si="707"/>
        <v>2 AÑOS</v>
      </c>
      <c r="I564" s="57">
        <v>3170.3326204132072</v>
      </c>
      <c r="J564" s="57"/>
      <c r="K564" s="57"/>
      <c r="L564" s="74"/>
      <c r="M564" s="171">
        <v>7.7999999999999999E-4</v>
      </c>
      <c r="N564" s="81">
        <f t="shared" si="706"/>
        <v>247.28594439223016</v>
      </c>
      <c r="O564" s="57">
        <f t="shared" si="708"/>
        <v>3417.6185648054375</v>
      </c>
      <c r="P564" s="81">
        <f t="shared" si="709"/>
        <v>6835.2371296108749</v>
      </c>
      <c r="Q564" s="81">
        <f t="shared" si="710"/>
        <v>5126.427847208156</v>
      </c>
      <c r="R564" s="81">
        <f t="shared" si="711"/>
        <v>1708.8092824027187</v>
      </c>
      <c r="S564" s="81">
        <f t="shared" si="712"/>
        <v>227.84123765369583</v>
      </c>
      <c r="T564" s="57">
        <f t="shared" si="713"/>
        <v>261.53895670267741</v>
      </c>
      <c r="U564" s="81">
        <f t="shared" si="714"/>
        <v>2563.213923604078</v>
      </c>
      <c r="V564" s="57">
        <f t="shared" si="715"/>
        <v>854.40464120135937</v>
      </c>
      <c r="W564" s="101">
        <v>7.4999999999999997E-2</v>
      </c>
      <c r="X564" s="158">
        <f t="shared" si="716"/>
        <v>512.6427847208156</v>
      </c>
      <c r="Y564" s="81">
        <v>0</v>
      </c>
      <c r="Z564" s="81">
        <v>25.27</v>
      </c>
      <c r="AA564" s="81">
        <f t="shared" si="717"/>
        <v>854.40464120135937</v>
      </c>
      <c r="AB564" s="81">
        <f t="shared" si="718"/>
        <v>170.88092824027186</v>
      </c>
      <c r="AC564" s="81">
        <v>1420.53</v>
      </c>
      <c r="AD564" s="81">
        <v>626.21</v>
      </c>
      <c r="AE564" s="81">
        <v>405.84</v>
      </c>
      <c r="AF564" s="81">
        <v>0</v>
      </c>
      <c r="AG564" s="81">
        <f t="shared" si="719"/>
        <v>235.81568097157518</v>
      </c>
      <c r="AH564" s="64"/>
      <c r="AI564" s="64"/>
      <c r="AJ564" s="67">
        <v>135</v>
      </c>
      <c r="AK564" s="73" t="s">
        <v>66</v>
      </c>
      <c r="AL564" s="67">
        <v>13378</v>
      </c>
      <c r="AM564" s="73" t="s">
        <v>759</v>
      </c>
      <c r="AN564" s="112" t="s">
        <v>757</v>
      </c>
      <c r="AO564" s="138">
        <f t="shared" si="721"/>
        <v>51264.278472081562</v>
      </c>
      <c r="AP564" s="65">
        <f t="shared" si="721"/>
        <v>17088.092824027186</v>
      </c>
      <c r="AQ564" s="65">
        <f t="shared" si="722"/>
        <v>5126.427847208156</v>
      </c>
      <c r="AR564" s="65">
        <f t="shared" si="722"/>
        <v>0</v>
      </c>
      <c r="AS564" s="65">
        <f t="shared" si="722"/>
        <v>252.7</v>
      </c>
      <c r="AT564" s="65">
        <f t="shared" si="722"/>
        <v>8544.046412013593</v>
      </c>
      <c r="AU564" s="65">
        <f t="shared" si="722"/>
        <v>1708.8092824027185</v>
      </c>
      <c r="AV564" s="65">
        <f t="shared" si="722"/>
        <v>14205.3</v>
      </c>
      <c r="AW564" s="65">
        <f t="shared" si="722"/>
        <v>6262.1</v>
      </c>
      <c r="AX564" s="65">
        <f t="shared" si="722"/>
        <v>4058.3999999999996</v>
      </c>
      <c r="AY564" s="65">
        <f t="shared" si="722"/>
        <v>0</v>
      </c>
      <c r="AZ564" s="65">
        <f t="shared" si="722"/>
        <v>2358.1568097157519</v>
      </c>
      <c r="BB564" s="64"/>
      <c r="BC564" s="66"/>
      <c r="BD564" s="66"/>
      <c r="BE564" s="66"/>
    </row>
    <row r="565" spans="2:57" ht="21" customHeight="1" x14ac:dyDescent="0.2">
      <c r="B565" s="67">
        <v>136</v>
      </c>
      <c r="C565" s="73" t="s">
        <v>66</v>
      </c>
      <c r="D565" s="67">
        <v>13357</v>
      </c>
      <c r="E565" s="73" t="s">
        <v>760</v>
      </c>
      <c r="F565" s="112" t="s">
        <v>757</v>
      </c>
      <c r="G565" s="169">
        <v>43862</v>
      </c>
      <c r="H565" s="55" t="str">
        <f xml:space="preserve"> CONCATENATE(DATEDIF(G565,H$5,"Y")," AÑOS")</f>
        <v>4 AÑOS</v>
      </c>
      <c r="I565" s="57">
        <v>3170.3326204132072</v>
      </c>
      <c r="J565" s="57"/>
      <c r="K565" s="57"/>
      <c r="L565" s="74"/>
      <c r="M565" s="171">
        <v>7.7999999999999999E-4</v>
      </c>
      <c r="N565" s="81">
        <f t="shared" si="706"/>
        <v>247.28594439223016</v>
      </c>
      <c r="O565" s="57">
        <f t="shared" si="708"/>
        <v>3417.6185648054375</v>
      </c>
      <c r="P565" s="81">
        <f>O565*2</f>
        <v>6835.2371296108749</v>
      </c>
      <c r="Q565" s="81">
        <f>P565*0.75</f>
        <v>5126.427847208156</v>
      </c>
      <c r="R565" s="81">
        <f>P565*0.25</f>
        <v>1708.8092824027187</v>
      </c>
      <c r="S565" s="81">
        <f>(P565/30)</f>
        <v>227.84123765369583</v>
      </c>
      <c r="T565" s="57">
        <f t="shared" si="713"/>
        <v>261.53895670267741</v>
      </c>
      <c r="U565" s="81">
        <f>O565*0.75</f>
        <v>2563.213923604078</v>
      </c>
      <c r="V565" s="57">
        <f>O565*0.25</f>
        <v>854.40464120135937</v>
      </c>
      <c r="W565" s="101">
        <v>0</v>
      </c>
      <c r="X565" s="158">
        <f t="shared" si="716"/>
        <v>0</v>
      </c>
      <c r="Y565" s="81">
        <v>0</v>
      </c>
      <c r="Z565" s="81">
        <v>25.27</v>
      </c>
      <c r="AA565" s="81">
        <f t="shared" si="717"/>
        <v>854.40464120135937</v>
      </c>
      <c r="AB565" s="81">
        <f t="shared" si="718"/>
        <v>170.88092824027186</v>
      </c>
      <c r="AC565" s="81">
        <v>1420.53</v>
      </c>
      <c r="AD565" s="81">
        <v>626.21</v>
      </c>
      <c r="AE565" s="81">
        <v>405.84</v>
      </c>
      <c r="AF565" s="81">
        <v>0</v>
      </c>
      <c r="AG565" s="81">
        <f t="shared" si="719"/>
        <v>235.81568097157518</v>
      </c>
      <c r="AH565" s="64"/>
      <c r="AI565" s="64"/>
      <c r="AJ565" s="67">
        <v>136</v>
      </c>
      <c r="AK565" s="73" t="s">
        <v>66</v>
      </c>
      <c r="AL565" s="67">
        <v>13357</v>
      </c>
      <c r="AM565" s="73" t="s">
        <v>760</v>
      </c>
      <c r="AN565" s="112" t="s">
        <v>757</v>
      </c>
      <c r="AO565" s="138">
        <f t="shared" si="721"/>
        <v>51264.278472081562</v>
      </c>
      <c r="AP565" s="65">
        <f t="shared" si="721"/>
        <v>17088.092824027186</v>
      </c>
      <c r="AQ565" s="65">
        <f t="shared" si="722"/>
        <v>0</v>
      </c>
      <c r="AR565" s="65">
        <f t="shared" si="722"/>
        <v>0</v>
      </c>
      <c r="AS565" s="65">
        <f t="shared" si="722"/>
        <v>252.7</v>
      </c>
      <c r="AT565" s="65">
        <f t="shared" si="722"/>
        <v>8544.046412013593</v>
      </c>
      <c r="AU565" s="65">
        <f t="shared" si="722"/>
        <v>1708.8092824027185</v>
      </c>
      <c r="AV565" s="65">
        <f t="shared" si="722"/>
        <v>14205.3</v>
      </c>
      <c r="AW565" s="65">
        <f t="shared" si="722"/>
        <v>6262.1</v>
      </c>
      <c r="AX565" s="65">
        <f t="shared" si="722"/>
        <v>4058.3999999999996</v>
      </c>
      <c r="AY565" s="65">
        <f t="shared" si="722"/>
        <v>0</v>
      </c>
      <c r="AZ565" s="65">
        <f t="shared" si="722"/>
        <v>2358.1568097157519</v>
      </c>
      <c r="BB565" s="64"/>
      <c r="BC565" s="66"/>
      <c r="BD565" s="66"/>
      <c r="BE565" s="66"/>
    </row>
    <row r="566" spans="2:57" ht="21" customHeight="1" x14ac:dyDescent="0.2">
      <c r="B566" s="67">
        <v>137</v>
      </c>
      <c r="C566" s="73" t="s">
        <v>66</v>
      </c>
      <c r="D566" s="67">
        <v>13404</v>
      </c>
      <c r="E566" s="73" t="s">
        <v>761</v>
      </c>
      <c r="F566" s="72" t="s">
        <v>762</v>
      </c>
      <c r="G566" s="169">
        <v>45352</v>
      </c>
      <c r="H566" s="67" t="str">
        <f xml:space="preserve"> CONCATENATE(DATEDIF(G566,H$5,"Y")," AÑOS")</f>
        <v>0 AÑOS</v>
      </c>
      <c r="I566" s="57">
        <v>2913.8707080033291</v>
      </c>
      <c r="J566" s="57"/>
      <c r="K566" s="57"/>
      <c r="L566" s="74"/>
      <c r="M566" s="171">
        <v>1.74E-3</v>
      </c>
      <c r="N566" s="81">
        <f t="shared" ref="N566" si="723">I566*0.174</f>
        <v>507.01350319257921</v>
      </c>
      <c r="O566" s="57">
        <f t="shared" si="708"/>
        <v>3420.8842111959084</v>
      </c>
      <c r="P566" s="81">
        <f t="shared" si="709"/>
        <v>6841.7684223918168</v>
      </c>
      <c r="Q566" s="81">
        <f t="shared" si="710"/>
        <v>5131.3263167938621</v>
      </c>
      <c r="R566" s="81">
        <f t="shared" si="711"/>
        <v>1710.4421055979542</v>
      </c>
      <c r="S566" s="81">
        <f t="shared" si="712"/>
        <v>228.05894741306057</v>
      </c>
      <c r="T566" s="57">
        <f t="shared" si="713"/>
        <v>261.78886573545219</v>
      </c>
      <c r="U566" s="81">
        <f t="shared" si="714"/>
        <v>2565.6631583969311</v>
      </c>
      <c r="V566" s="57">
        <f t="shared" si="715"/>
        <v>855.2210527989771</v>
      </c>
      <c r="W566" s="101">
        <v>0</v>
      </c>
      <c r="X566" s="158">
        <f t="shared" si="716"/>
        <v>0</v>
      </c>
      <c r="Y566" s="81">
        <v>0</v>
      </c>
      <c r="Z566" s="81">
        <v>25.27</v>
      </c>
      <c r="AA566" s="81">
        <f t="shared" si="717"/>
        <v>855.22105279897721</v>
      </c>
      <c r="AB566" s="81">
        <f t="shared" si="718"/>
        <v>171.0442105597954</v>
      </c>
      <c r="AC566" s="81">
        <v>1420.53</v>
      </c>
      <c r="AD566" s="81">
        <v>626.21</v>
      </c>
      <c r="AE566" s="81">
        <v>405.84</v>
      </c>
      <c r="AF566" s="81">
        <v>0</v>
      </c>
      <c r="AG566" s="81">
        <f t="shared" si="719"/>
        <v>236.04101057251768</v>
      </c>
      <c r="AH566" s="64"/>
      <c r="AI566" s="64"/>
      <c r="AJ566" s="67">
        <v>137</v>
      </c>
      <c r="AK566" s="73" t="s">
        <v>66</v>
      </c>
      <c r="AL566" s="67">
        <v>13404</v>
      </c>
      <c r="AM566" s="73" t="s">
        <v>761</v>
      </c>
      <c r="AN566" s="72" t="s">
        <v>762</v>
      </c>
      <c r="AO566" s="138">
        <f t="shared" si="721"/>
        <v>51313.263167938625</v>
      </c>
      <c r="AP566" s="65">
        <f t="shared" si="721"/>
        <v>17104.421055979543</v>
      </c>
      <c r="AQ566" s="65">
        <f t="shared" si="722"/>
        <v>0</v>
      </c>
      <c r="AR566" s="65">
        <f t="shared" si="722"/>
        <v>0</v>
      </c>
      <c r="AS566" s="65">
        <f t="shared" si="722"/>
        <v>252.7</v>
      </c>
      <c r="AT566" s="65">
        <f t="shared" si="722"/>
        <v>8552.2105279897714</v>
      </c>
      <c r="AU566" s="65">
        <f t="shared" si="722"/>
        <v>1710.442105597954</v>
      </c>
      <c r="AV566" s="65">
        <f t="shared" si="722"/>
        <v>14205.3</v>
      </c>
      <c r="AW566" s="65">
        <f t="shared" si="722"/>
        <v>6262.1</v>
      </c>
      <c r="AX566" s="65">
        <f t="shared" si="722"/>
        <v>4058.3999999999996</v>
      </c>
      <c r="AY566" s="65">
        <f t="shared" si="722"/>
        <v>0</v>
      </c>
      <c r="AZ566" s="65">
        <f t="shared" si="722"/>
        <v>2360.4101057251769</v>
      </c>
      <c r="BB566" s="64"/>
      <c r="BC566" s="66"/>
      <c r="BD566" s="66"/>
      <c r="BE566" s="66"/>
    </row>
    <row r="567" spans="2:57" ht="21" customHeight="1" x14ac:dyDescent="0.2">
      <c r="B567" s="67">
        <v>138</v>
      </c>
      <c r="C567" s="73" t="s">
        <v>66</v>
      </c>
      <c r="D567" s="67">
        <v>13286</v>
      </c>
      <c r="E567" s="72" t="s">
        <v>763</v>
      </c>
      <c r="F567" s="72" t="s">
        <v>764</v>
      </c>
      <c r="G567" s="55">
        <v>42072</v>
      </c>
      <c r="H567" s="55" t="str">
        <f t="shared" si="707"/>
        <v>9 AÑOS</v>
      </c>
      <c r="I567" s="57">
        <v>5969.2818957649106</v>
      </c>
      <c r="J567" s="57"/>
      <c r="K567" s="57"/>
      <c r="L567" s="74"/>
      <c r="M567" s="171">
        <v>4.0000000000000002E-4</v>
      </c>
      <c r="N567" s="81">
        <f t="shared" ref="N567:N603" si="724">I567*0.04</f>
        <v>238.77127583059644</v>
      </c>
      <c r="O567" s="57">
        <f t="shared" si="708"/>
        <v>6208.0531715955067</v>
      </c>
      <c r="P567" s="81">
        <f t="shared" si="709"/>
        <v>12416.106343191013</v>
      </c>
      <c r="Q567" s="81">
        <f t="shared" si="710"/>
        <v>9312.0797573932596</v>
      </c>
      <c r="R567" s="81">
        <f t="shared" si="711"/>
        <v>3104.0265857977533</v>
      </c>
      <c r="S567" s="81">
        <f t="shared" si="712"/>
        <v>413.87021143970043</v>
      </c>
      <c r="T567" s="57">
        <f t="shared" si="713"/>
        <v>475.08161571163208</v>
      </c>
      <c r="U567" s="81">
        <f t="shared" si="714"/>
        <v>4656.0398786966298</v>
      </c>
      <c r="V567" s="57">
        <f t="shared" si="715"/>
        <v>1552.0132928988767</v>
      </c>
      <c r="W567" s="101">
        <v>2.5000000000000001E-2</v>
      </c>
      <c r="X567" s="158">
        <f t="shared" si="716"/>
        <v>310.40265857977533</v>
      </c>
      <c r="Y567" s="81">
        <v>700.19354160438661</v>
      </c>
      <c r="Z567" s="81">
        <v>0</v>
      </c>
      <c r="AA567" s="81">
        <f t="shared" si="717"/>
        <v>1552.0132928988767</v>
      </c>
      <c r="AB567" s="81">
        <f t="shared" si="718"/>
        <v>310.40265857977533</v>
      </c>
      <c r="AC567" s="81">
        <v>2070.1417320346491</v>
      </c>
      <c r="AD567" s="81">
        <v>1245.2126688609733</v>
      </c>
      <c r="AE567" s="81">
        <v>736.37650435302976</v>
      </c>
      <c r="AF567" s="81">
        <v>0</v>
      </c>
      <c r="AG567" s="81">
        <f t="shared" si="719"/>
        <v>428.35566884008995</v>
      </c>
      <c r="AH567" s="64"/>
      <c r="AI567" s="64"/>
      <c r="AJ567" s="67">
        <v>138</v>
      </c>
      <c r="AK567" s="73" t="s">
        <v>66</v>
      </c>
      <c r="AL567" s="67">
        <v>13286</v>
      </c>
      <c r="AM567" s="72" t="s">
        <v>763</v>
      </c>
      <c r="AN567" s="72" t="s">
        <v>764</v>
      </c>
      <c r="AO567" s="138">
        <f>Q567*12</f>
        <v>111744.95708871912</v>
      </c>
      <c r="AP567" s="65">
        <f>R567*12</f>
        <v>37248.319029573038</v>
      </c>
      <c r="AQ567" s="65">
        <f t="shared" ref="AQ567:AZ567" si="725">X567*12</f>
        <v>3724.831902957304</v>
      </c>
      <c r="AR567" s="65">
        <f t="shared" si="725"/>
        <v>8402.3224992526393</v>
      </c>
      <c r="AS567" s="65">
        <f t="shared" si="725"/>
        <v>0</v>
      </c>
      <c r="AT567" s="65">
        <f t="shared" si="725"/>
        <v>18624.159514786519</v>
      </c>
      <c r="AU567" s="65">
        <f t="shared" si="725"/>
        <v>3724.831902957304</v>
      </c>
      <c r="AV567" s="65">
        <f t="shared" si="725"/>
        <v>24841.700784415789</v>
      </c>
      <c r="AW567" s="65">
        <f t="shared" si="725"/>
        <v>14942.552026331679</v>
      </c>
      <c r="AX567" s="65">
        <f t="shared" si="725"/>
        <v>8836.5180522363571</v>
      </c>
      <c r="AY567" s="65">
        <f t="shared" si="725"/>
        <v>0</v>
      </c>
      <c r="AZ567" s="65">
        <f t="shared" si="725"/>
        <v>5140.2680260810794</v>
      </c>
      <c r="BB567" s="64"/>
      <c r="BC567" s="66"/>
      <c r="BD567" s="66"/>
      <c r="BE567" s="66"/>
    </row>
    <row r="568" spans="2:57" ht="21" customHeight="1" x14ac:dyDescent="0.2">
      <c r="B568" s="67">
        <v>139</v>
      </c>
      <c r="C568" s="73" t="s">
        <v>66</v>
      </c>
      <c r="D568" s="67">
        <v>13220</v>
      </c>
      <c r="E568" s="72" t="s">
        <v>765</v>
      </c>
      <c r="F568" s="72" t="s">
        <v>766</v>
      </c>
      <c r="G568" s="55">
        <v>39692</v>
      </c>
      <c r="H568" s="55" t="str">
        <f t="shared" si="707"/>
        <v>16 AÑOS</v>
      </c>
      <c r="I568" s="57">
        <v>3170.0105957691849</v>
      </c>
      <c r="J568" s="57"/>
      <c r="K568" s="57"/>
      <c r="L568" s="74"/>
      <c r="M568" s="171">
        <v>7.7999999999999999E-4</v>
      </c>
      <c r="N568" s="81">
        <f t="shared" ref="N568" si="726">I568*0.078</f>
        <v>247.26082646999643</v>
      </c>
      <c r="O568" s="57">
        <f t="shared" si="708"/>
        <v>3417.2714222391814</v>
      </c>
      <c r="P568" s="81">
        <f t="shared" si="709"/>
        <v>6834.5428444783629</v>
      </c>
      <c r="Q568" s="81">
        <f t="shared" si="710"/>
        <v>5125.9071333587726</v>
      </c>
      <c r="R568" s="81">
        <f t="shared" si="711"/>
        <v>1708.6357111195907</v>
      </c>
      <c r="S568" s="81">
        <f t="shared" si="712"/>
        <v>227.81809481594544</v>
      </c>
      <c r="T568" s="57">
        <f t="shared" si="713"/>
        <v>261.51239103922376</v>
      </c>
      <c r="U568" s="81">
        <f t="shared" si="714"/>
        <v>2562.9535666793863</v>
      </c>
      <c r="V568" s="57">
        <f t="shared" si="715"/>
        <v>854.31785555979536</v>
      </c>
      <c r="W568" s="101">
        <v>7.4999999999999997E-2</v>
      </c>
      <c r="X568" s="158">
        <f t="shared" si="716"/>
        <v>512.59071333587724</v>
      </c>
      <c r="Y568" s="81">
        <v>0</v>
      </c>
      <c r="Z568" s="81">
        <v>25.27</v>
      </c>
      <c r="AA568" s="81">
        <f t="shared" si="717"/>
        <v>854.31785555979548</v>
      </c>
      <c r="AB568" s="81">
        <f t="shared" si="718"/>
        <v>170.86357111195912</v>
      </c>
      <c r="AC568" s="81">
        <v>1420.53</v>
      </c>
      <c r="AD568" s="81">
        <v>626.21</v>
      </c>
      <c r="AE568" s="81">
        <v>405.84</v>
      </c>
      <c r="AF568" s="81">
        <v>0</v>
      </c>
      <c r="AG568" s="81">
        <f t="shared" si="719"/>
        <v>235.7917281345035</v>
      </c>
      <c r="AH568" s="64"/>
      <c r="AI568" s="64"/>
      <c r="AJ568" s="67">
        <v>139</v>
      </c>
      <c r="AK568" s="73" t="s">
        <v>66</v>
      </c>
      <c r="AL568" s="67">
        <v>13220</v>
      </c>
      <c r="AM568" s="72" t="s">
        <v>765</v>
      </c>
      <c r="AN568" s="72" t="s">
        <v>766</v>
      </c>
      <c r="AO568" s="138">
        <f>Q568*10</f>
        <v>51259.071333587723</v>
      </c>
      <c r="AP568" s="65">
        <f>R568*10</f>
        <v>17086.357111195906</v>
      </c>
      <c r="AQ568" s="65">
        <f t="shared" ref="AQ568:AZ568" si="727">X568*10</f>
        <v>5125.9071333587726</v>
      </c>
      <c r="AR568" s="65">
        <f t="shared" si="727"/>
        <v>0</v>
      </c>
      <c r="AS568" s="65">
        <f t="shared" si="727"/>
        <v>252.7</v>
      </c>
      <c r="AT568" s="65">
        <f t="shared" si="727"/>
        <v>8543.178555597955</v>
      </c>
      <c r="AU568" s="65">
        <f t="shared" si="727"/>
        <v>1708.6357111195912</v>
      </c>
      <c r="AV568" s="65">
        <f t="shared" si="727"/>
        <v>14205.3</v>
      </c>
      <c r="AW568" s="65">
        <f t="shared" si="727"/>
        <v>6262.1</v>
      </c>
      <c r="AX568" s="65">
        <f t="shared" si="727"/>
        <v>4058.3999999999996</v>
      </c>
      <c r="AY568" s="65">
        <f t="shared" si="727"/>
        <v>0</v>
      </c>
      <c r="AZ568" s="65">
        <f t="shared" si="727"/>
        <v>2357.917281345035</v>
      </c>
      <c r="BB568" s="64"/>
      <c r="BC568" s="66"/>
      <c r="BD568" s="66"/>
      <c r="BE568" s="66"/>
    </row>
    <row r="569" spans="2:57" ht="21" customHeight="1" x14ac:dyDescent="0.2">
      <c r="B569" s="67">
        <v>140</v>
      </c>
      <c r="C569" s="73" t="s">
        <v>66</v>
      </c>
      <c r="D569" s="67">
        <v>13379</v>
      </c>
      <c r="E569" s="72" t="s">
        <v>767</v>
      </c>
      <c r="F569" s="112" t="s">
        <v>768</v>
      </c>
      <c r="G569" s="55">
        <v>44743</v>
      </c>
      <c r="H569" s="55" t="str">
        <f t="shared" si="707"/>
        <v>2 AÑOS</v>
      </c>
      <c r="I569" s="57">
        <v>3543.6306364132074</v>
      </c>
      <c r="J569" s="57"/>
      <c r="K569" s="57"/>
      <c r="L569" s="74"/>
      <c r="M569" s="171">
        <v>4.0000000000000002E-4</v>
      </c>
      <c r="N569" s="81">
        <f t="shared" si="724"/>
        <v>141.74522545652829</v>
      </c>
      <c r="O569" s="57">
        <f t="shared" si="708"/>
        <v>3685.3758618697357</v>
      </c>
      <c r="P569" s="81">
        <f t="shared" si="709"/>
        <v>7370.7517237394713</v>
      </c>
      <c r="Q569" s="81">
        <f t="shared" si="710"/>
        <v>5528.0637928046035</v>
      </c>
      <c r="R569" s="81">
        <f t="shared" si="711"/>
        <v>1842.6879309348678</v>
      </c>
      <c r="S569" s="81">
        <f t="shared" si="712"/>
        <v>245.69172412464906</v>
      </c>
      <c r="T569" s="57">
        <f t="shared" si="713"/>
        <v>282.0295301226846</v>
      </c>
      <c r="U569" s="81">
        <f t="shared" si="714"/>
        <v>2764.0318964023018</v>
      </c>
      <c r="V569" s="57">
        <f t="shared" si="715"/>
        <v>921.34396546743392</v>
      </c>
      <c r="W569" s="101">
        <v>0</v>
      </c>
      <c r="X569" s="158">
        <f t="shared" si="716"/>
        <v>0</v>
      </c>
      <c r="Y569" s="81">
        <v>30.07800273949465</v>
      </c>
      <c r="Z569" s="81">
        <v>0</v>
      </c>
      <c r="AA569" s="81">
        <f t="shared" si="717"/>
        <v>921.34396546743392</v>
      </c>
      <c r="AB569" s="81">
        <f t="shared" si="718"/>
        <v>184.26879309348681</v>
      </c>
      <c r="AC569" s="81">
        <v>1475.8376114807336</v>
      </c>
      <c r="AD569" s="81">
        <v>674.51592571791855</v>
      </c>
      <c r="AE569" s="81">
        <v>437.14577169016115</v>
      </c>
      <c r="AF569" s="81">
        <v>0</v>
      </c>
      <c r="AG569" s="81">
        <f t="shared" si="719"/>
        <v>254.29093446901172</v>
      </c>
      <c r="AH569" s="64"/>
      <c r="AI569" s="64"/>
      <c r="AJ569" s="67">
        <v>140</v>
      </c>
      <c r="AK569" s="73" t="s">
        <v>66</v>
      </c>
      <c r="AL569" s="67">
        <v>13379</v>
      </c>
      <c r="AM569" s="72" t="s">
        <v>767</v>
      </c>
      <c r="AN569" s="112" t="s">
        <v>768</v>
      </c>
      <c r="AO569" s="138">
        <f t="shared" ref="AO569:AO579" si="728">Q569*12</f>
        <v>66336.765513655235</v>
      </c>
      <c r="AP569" s="65">
        <f t="shared" ref="AP569:AP579" si="729">R569*12</f>
        <v>22112.255171218414</v>
      </c>
      <c r="AQ569" s="65">
        <f t="shared" ref="AQ569:AQ579" si="730">X569*12</f>
        <v>0</v>
      </c>
      <c r="AR569" s="65">
        <f t="shared" ref="AR569:AR579" si="731">Y569*12</f>
        <v>360.9360328739358</v>
      </c>
      <c r="AS569" s="65">
        <f t="shared" ref="AS569:AS579" si="732">Z569*12</f>
        <v>0</v>
      </c>
      <c r="AT569" s="65">
        <f t="shared" ref="AT569:AT579" si="733">AA569*12</f>
        <v>11056.127585609207</v>
      </c>
      <c r="AU569" s="65">
        <f t="shared" ref="AU569:AU579" si="734">AB569*12</f>
        <v>2211.2255171218417</v>
      </c>
      <c r="AV569" s="65">
        <f t="shared" ref="AV569:AV579" si="735">AC569*12</f>
        <v>17710.051337768804</v>
      </c>
      <c r="AW569" s="65">
        <f t="shared" ref="AW569:AW579" si="736">AD569*12</f>
        <v>8094.191108615023</v>
      </c>
      <c r="AX569" s="65">
        <f t="shared" ref="AX569:AX579" si="737">AE569*12</f>
        <v>5245.7492602819339</v>
      </c>
      <c r="AY569" s="65">
        <f t="shared" ref="AY569:AY579" si="738">AF569*12</f>
        <v>0</v>
      </c>
      <c r="AZ569" s="65">
        <f t="shared" ref="AZ569:AZ579" si="739">AG569*12</f>
        <v>3051.4912136281405</v>
      </c>
      <c r="BB569" s="64"/>
      <c r="BC569" s="66"/>
      <c r="BD569" s="66"/>
      <c r="BE569" s="66"/>
    </row>
    <row r="570" spans="2:57" ht="21" customHeight="1" x14ac:dyDescent="0.2">
      <c r="B570" s="67">
        <v>141</v>
      </c>
      <c r="C570" s="73" t="s">
        <v>66</v>
      </c>
      <c r="D570" s="67">
        <v>13339</v>
      </c>
      <c r="E570" s="72" t="s">
        <v>769</v>
      </c>
      <c r="F570" s="112" t="s">
        <v>768</v>
      </c>
      <c r="G570" s="55">
        <v>43252</v>
      </c>
      <c r="H570" s="55" t="str">
        <f t="shared" si="707"/>
        <v>6 AÑOS</v>
      </c>
      <c r="I570" s="57">
        <v>3543.6306364132074</v>
      </c>
      <c r="J570" s="57"/>
      <c r="K570" s="57"/>
      <c r="L570" s="74"/>
      <c r="M570" s="171">
        <v>4.0000000000000002E-4</v>
      </c>
      <c r="N570" s="81">
        <f t="shared" si="724"/>
        <v>141.74522545652829</v>
      </c>
      <c r="O570" s="57">
        <f t="shared" si="708"/>
        <v>3685.3758618697357</v>
      </c>
      <c r="P570" s="81">
        <f t="shared" si="709"/>
        <v>7370.7517237394713</v>
      </c>
      <c r="Q570" s="81">
        <f t="shared" si="710"/>
        <v>5528.0637928046035</v>
      </c>
      <c r="R570" s="81">
        <f t="shared" si="711"/>
        <v>1842.6879309348678</v>
      </c>
      <c r="S570" s="81">
        <f t="shared" si="712"/>
        <v>245.69172412464906</v>
      </c>
      <c r="T570" s="57">
        <f t="shared" si="713"/>
        <v>282.0295301226846</v>
      </c>
      <c r="U570" s="81">
        <f t="shared" si="714"/>
        <v>2764.0318964023018</v>
      </c>
      <c r="V570" s="57">
        <f t="shared" si="715"/>
        <v>921.34396546743392</v>
      </c>
      <c r="W570" s="101">
        <v>2.5000000000000001E-2</v>
      </c>
      <c r="X570" s="158">
        <f t="shared" si="716"/>
        <v>184.26879309348681</v>
      </c>
      <c r="Y570" s="81">
        <v>30.07800273949465</v>
      </c>
      <c r="Z570" s="81">
        <v>0</v>
      </c>
      <c r="AA570" s="81">
        <f t="shared" si="717"/>
        <v>921.34396546743392</v>
      </c>
      <c r="AB570" s="81">
        <f t="shared" si="718"/>
        <v>184.26879309348681</v>
      </c>
      <c r="AC570" s="81">
        <v>1475.8376114807336</v>
      </c>
      <c r="AD570" s="81">
        <v>674.51592571791855</v>
      </c>
      <c r="AE570" s="81">
        <v>437.14577169016115</v>
      </c>
      <c r="AF570" s="81">
        <v>0</v>
      </c>
      <c r="AG570" s="81">
        <f t="shared" si="719"/>
        <v>254.29093446901172</v>
      </c>
      <c r="AH570" s="64"/>
      <c r="AI570" s="64"/>
      <c r="AJ570" s="67">
        <v>141</v>
      </c>
      <c r="AK570" s="73" t="s">
        <v>66</v>
      </c>
      <c r="AL570" s="67">
        <v>13339</v>
      </c>
      <c r="AM570" s="72" t="s">
        <v>769</v>
      </c>
      <c r="AN570" s="112" t="s">
        <v>768</v>
      </c>
      <c r="AO570" s="138">
        <f t="shared" si="728"/>
        <v>66336.765513655235</v>
      </c>
      <c r="AP570" s="65">
        <f t="shared" si="729"/>
        <v>22112.255171218414</v>
      </c>
      <c r="AQ570" s="65">
        <f t="shared" si="730"/>
        <v>2211.2255171218417</v>
      </c>
      <c r="AR570" s="65">
        <f t="shared" si="731"/>
        <v>360.9360328739358</v>
      </c>
      <c r="AS570" s="65">
        <f t="shared" si="732"/>
        <v>0</v>
      </c>
      <c r="AT570" s="65">
        <f t="shared" si="733"/>
        <v>11056.127585609207</v>
      </c>
      <c r="AU570" s="65">
        <f t="shared" si="734"/>
        <v>2211.2255171218417</v>
      </c>
      <c r="AV570" s="65">
        <f t="shared" si="735"/>
        <v>17710.051337768804</v>
      </c>
      <c r="AW570" s="65">
        <f t="shared" si="736"/>
        <v>8094.191108615023</v>
      </c>
      <c r="AX570" s="65">
        <f t="shared" si="737"/>
        <v>5245.7492602819339</v>
      </c>
      <c r="AY570" s="65">
        <f t="shared" si="738"/>
        <v>0</v>
      </c>
      <c r="AZ570" s="65">
        <f t="shared" si="739"/>
        <v>3051.4912136281405</v>
      </c>
      <c r="BB570" s="64"/>
      <c r="BC570" s="66"/>
      <c r="BD570" s="66"/>
      <c r="BE570" s="66"/>
    </row>
    <row r="571" spans="2:57" ht="21" customHeight="1" x14ac:dyDescent="0.2">
      <c r="B571" s="67">
        <v>142</v>
      </c>
      <c r="C571" s="73" t="s">
        <v>66</v>
      </c>
      <c r="D571" s="67">
        <v>13397</v>
      </c>
      <c r="E571" s="73" t="s">
        <v>770</v>
      </c>
      <c r="F571" s="112" t="s">
        <v>768</v>
      </c>
      <c r="G571" s="250">
        <v>45352</v>
      </c>
      <c r="H571" s="56" t="str">
        <f t="shared" si="707"/>
        <v>0 AÑOS</v>
      </c>
      <c r="I571" s="57">
        <v>3543.9713404132076</v>
      </c>
      <c r="J571" s="58"/>
      <c r="K571" s="58"/>
      <c r="L571" s="59"/>
      <c r="M571" s="60">
        <v>4.0000000000000002E-4</v>
      </c>
      <c r="N571" s="61">
        <f t="shared" si="724"/>
        <v>141.75885361652831</v>
      </c>
      <c r="O571" s="58">
        <f t="shared" si="708"/>
        <v>3685.7301940297357</v>
      </c>
      <c r="P571" s="61">
        <f t="shared" si="709"/>
        <v>7371.4603880594714</v>
      </c>
      <c r="Q571" s="61">
        <f t="shared" si="710"/>
        <v>5528.5952910446031</v>
      </c>
      <c r="R571" s="61">
        <f t="shared" si="711"/>
        <v>1842.8650970148678</v>
      </c>
      <c r="S571" s="61">
        <f t="shared" si="712"/>
        <v>245.71534626864906</v>
      </c>
      <c r="T571" s="58">
        <f t="shared" si="713"/>
        <v>282.05664598178225</v>
      </c>
      <c r="U571" s="61">
        <f t="shared" si="714"/>
        <v>2764.2976455223015</v>
      </c>
      <c r="V571" s="58">
        <f t="shared" si="715"/>
        <v>921.43254850743392</v>
      </c>
      <c r="W571" s="101"/>
      <c r="X571" s="63">
        <f t="shared" si="716"/>
        <v>0</v>
      </c>
      <c r="Y571" s="61">
        <v>30.112018626854649</v>
      </c>
      <c r="Z571" s="61">
        <v>0</v>
      </c>
      <c r="AA571" s="61">
        <f t="shared" si="717"/>
        <v>921.43254850743403</v>
      </c>
      <c r="AB571" s="61">
        <f t="shared" si="718"/>
        <v>184.28650970148681</v>
      </c>
      <c r="AC571" s="61">
        <v>1475.9118578294017</v>
      </c>
      <c r="AD571" s="61">
        <v>674.58077736232963</v>
      </c>
      <c r="AE571" s="61">
        <v>437.18780127176251</v>
      </c>
      <c r="AF571" s="61">
        <v>0</v>
      </c>
      <c r="AG571" s="61">
        <f t="shared" si="719"/>
        <v>254.31538338805174</v>
      </c>
      <c r="AH571" s="64"/>
      <c r="AI571" s="64"/>
      <c r="AJ571" s="67">
        <v>142</v>
      </c>
      <c r="AK571" s="73" t="s">
        <v>66</v>
      </c>
      <c r="AL571" s="67">
        <v>13397</v>
      </c>
      <c r="AM571" s="73" t="s">
        <v>770</v>
      </c>
      <c r="AN571" s="112" t="s">
        <v>768</v>
      </c>
      <c r="AO571" s="138">
        <f t="shared" si="728"/>
        <v>66343.143492535237</v>
      </c>
      <c r="AP571" s="65">
        <f t="shared" si="729"/>
        <v>22114.381164178412</v>
      </c>
      <c r="AQ571" s="65">
        <f t="shared" si="730"/>
        <v>0</v>
      </c>
      <c r="AR571" s="65">
        <f t="shared" si="731"/>
        <v>361.34422352225579</v>
      </c>
      <c r="AS571" s="65">
        <f t="shared" si="732"/>
        <v>0</v>
      </c>
      <c r="AT571" s="65">
        <f t="shared" si="733"/>
        <v>11057.190582089208</v>
      </c>
      <c r="AU571" s="65">
        <f t="shared" si="734"/>
        <v>2211.4381164178417</v>
      </c>
      <c r="AV571" s="65">
        <f t="shared" si="735"/>
        <v>17710.942293952819</v>
      </c>
      <c r="AW571" s="65">
        <f t="shared" si="736"/>
        <v>8094.9693283479555</v>
      </c>
      <c r="AX571" s="65">
        <f t="shared" si="737"/>
        <v>5246.2536152611501</v>
      </c>
      <c r="AY571" s="65">
        <f t="shared" si="738"/>
        <v>0</v>
      </c>
      <c r="AZ571" s="65">
        <f t="shared" si="739"/>
        <v>3051.784600656621</v>
      </c>
      <c r="BB571" s="64"/>
      <c r="BC571" s="66"/>
      <c r="BD571" s="66"/>
      <c r="BE571" s="66"/>
    </row>
    <row r="572" spans="2:57" ht="21" customHeight="1" x14ac:dyDescent="0.2">
      <c r="B572" s="67">
        <v>143</v>
      </c>
      <c r="C572" s="73" t="s">
        <v>66</v>
      </c>
      <c r="D572" s="67">
        <v>13266</v>
      </c>
      <c r="E572" s="72" t="s">
        <v>771</v>
      </c>
      <c r="F572" s="72" t="s">
        <v>772</v>
      </c>
      <c r="G572" s="123">
        <v>41206</v>
      </c>
      <c r="H572" s="56" t="str">
        <f t="shared" si="707"/>
        <v>12 AÑOS</v>
      </c>
      <c r="I572" s="57">
        <v>3524.630710013208</v>
      </c>
      <c r="J572" s="58"/>
      <c r="K572" s="58"/>
      <c r="L572" s="59"/>
      <c r="M572" s="60">
        <v>4.0000000000000002E-4</v>
      </c>
      <c r="N572" s="61">
        <f t="shared" si="724"/>
        <v>140.98522840052831</v>
      </c>
      <c r="O572" s="58">
        <f t="shared" si="708"/>
        <v>3665.6159384137363</v>
      </c>
      <c r="P572" s="61">
        <f t="shared" si="709"/>
        <v>7331.2318768274727</v>
      </c>
      <c r="Q572" s="61">
        <f t="shared" si="710"/>
        <v>5498.423907620605</v>
      </c>
      <c r="R572" s="61">
        <f t="shared" si="711"/>
        <v>1832.8079692068682</v>
      </c>
      <c r="S572" s="61">
        <f t="shared" si="712"/>
        <v>244.37439589424909</v>
      </c>
      <c r="T572" s="58">
        <f t="shared" si="713"/>
        <v>280.51736904700851</v>
      </c>
      <c r="U572" s="61">
        <f t="shared" si="714"/>
        <v>2749.2119538103025</v>
      </c>
      <c r="V572" s="58">
        <f t="shared" si="715"/>
        <v>916.40398460343408</v>
      </c>
      <c r="W572" s="101">
        <v>0.05</v>
      </c>
      <c r="X572" s="63">
        <f t="shared" si="716"/>
        <v>366.56159384137368</v>
      </c>
      <c r="Y572" s="61">
        <v>28.181050087718745</v>
      </c>
      <c r="Z572" s="61">
        <v>0</v>
      </c>
      <c r="AA572" s="61">
        <f t="shared" si="717"/>
        <v>916.4039846034342</v>
      </c>
      <c r="AB572" s="61">
        <f t="shared" si="718"/>
        <v>183.28079692068681</v>
      </c>
      <c r="AC572" s="61">
        <v>1471.6971401033604</v>
      </c>
      <c r="AD572" s="61">
        <v>670.89936568127791</v>
      </c>
      <c r="AE572" s="61">
        <v>434.80192202286321</v>
      </c>
      <c r="AF572" s="61">
        <v>0</v>
      </c>
      <c r="AG572" s="61">
        <f t="shared" si="719"/>
        <v>252.92749975054778</v>
      </c>
      <c r="AH572" s="64"/>
      <c r="AI572" s="64"/>
      <c r="AJ572" s="67">
        <v>143</v>
      </c>
      <c r="AK572" s="73" t="s">
        <v>66</v>
      </c>
      <c r="AL572" s="67">
        <v>13266</v>
      </c>
      <c r="AM572" s="72" t="s">
        <v>771</v>
      </c>
      <c r="AN572" s="72" t="s">
        <v>772</v>
      </c>
      <c r="AO572" s="138">
        <f t="shared" si="728"/>
        <v>65981.086891447252</v>
      </c>
      <c r="AP572" s="65">
        <f t="shared" si="729"/>
        <v>21993.69563048242</v>
      </c>
      <c r="AQ572" s="65">
        <f t="shared" si="730"/>
        <v>4398.7391260964841</v>
      </c>
      <c r="AR572" s="65">
        <f t="shared" si="731"/>
        <v>338.17260105262494</v>
      </c>
      <c r="AS572" s="65">
        <f t="shared" si="732"/>
        <v>0</v>
      </c>
      <c r="AT572" s="65">
        <f t="shared" si="733"/>
        <v>10996.84781524121</v>
      </c>
      <c r="AU572" s="65">
        <f t="shared" si="734"/>
        <v>2199.3695630482416</v>
      </c>
      <c r="AV572" s="65">
        <f t="shared" si="735"/>
        <v>17660.365681240324</v>
      </c>
      <c r="AW572" s="65">
        <f t="shared" si="736"/>
        <v>8050.792388175335</v>
      </c>
      <c r="AX572" s="65">
        <f t="shared" si="737"/>
        <v>5217.6230642743585</v>
      </c>
      <c r="AY572" s="65">
        <f t="shared" si="738"/>
        <v>0</v>
      </c>
      <c r="AZ572" s="65">
        <f t="shared" si="739"/>
        <v>3035.1299970065734</v>
      </c>
      <c r="BB572" s="64"/>
      <c r="BC572" s="66"/>
      <c r="BD572" s="66"/>
      <c r="BE572" s="66"/>
    </row>
    <row r="573" spans="2:57" ht="21" customHeight="1" x14ac:dyDescent="0.2">
      <c r="B573" s="67">
        <v>144</v>
      </c>
      <c r="C573" s="73" t="s">
        <v>66</v>
      </c>
      <c r="D573" s="67">
        <v>13278</v>
      </c>
      <c r="E573" s="72" t="s">
        <v>773</v>
      </c>
      <c r="F573" s="72" t="s">
        <v>772</v>
      </c>
      <c r="G573" s="123">
        <v>41701</v>
      </c>
      <c r="H573" s="56" t="str">
        <f t="shared" si="707"/>
        <v>10 AÑOS</v>
      </c>
      <c r="I573" s="57">
        <v>3524.630710013208</v>
      </c>
      <c r="J573" s="58"/>
      <c r="K573" s="58"/>
      <c r="L573" s="59"/>
      <c r="M573" s="60">
        <v>4.0000000000000002E-4</v>
      </c>
      <c r="N573" s="61">
        <f t="shared" si="724"/>
        <v>140.98522840052831</v>
      </c>
      <c r="O573" s="58">
        <f t="shared" si="708"/>
        <v>3665.6159384137363</v>
      </c>
      <c r="P573" s="61">
        <f t="shared" si="709"/>
        <v>7331.2318768274727</v>
      </c>
      <c r="Q573" s="61">
        <f t="shared" si="710"/>
        <v>5498.423907620605</v>
      </c>
      <c r="R573" s="61">
        <f t="shared" si="711"/>
        <v>1832.8079692068682</v>
      </c>
      <c r="S573" s="61">
        <f t="shared" si="712"/>
        <v>244.37439589424909</v>
      </c>
      <c r="T573" s="58">
        <f t="shared" si="713"/>
        <v>280.51736904700851</v>
      </c>
      <c r="U573" s="61">
        <f t="shared" si="714"/>
        <v>2749.2119538103025</v>
      </c>
      <c r="V573" s="58">
        <f t="shared" si="715"/>
        <v>916.40398460343408</v>
      </c>
      <c r="W573" s="101">
        <v>0.05</v>
      </c>
      <c r="X573" s="63">
        <f t="shared" si="716"/>
        <v>366.56159384137368</v>
      </c>
      <c r="Y573" s="61">
        <v>28.181050087718745</v>
      </c>
      <c r="Z573" s="61">
        <v>0</v>
      </c>
      <c r="AA573" s="61">
        <f t="shared" si="717"/>
        <v>916.4039846034342</v>
      </c>
      <c r="AB573" s="61">
        <f t="shared" si="718"/>
        <v>183.28079692068681</v>
      </c>
      <c r="AC573" s="61">
        <v>1471.6971401033604</v>
      </c>
      <c r="AD573" s="61">
        <v>670.89936568127791</v>
      </c>
      <c r="AE573" s="61">
        <v>434.80192202286321</v>
      </c>
      <c r="AF573" s="61">
        <v>0</v>
      </c>
      <c r="AG573" s="61">
        <f t="shared" si="719"/>
        <v>252.92749975054778</v>
      </c>
      <c r="AH573" s="64"/>
      <c r="AI573" s="64"/>
      <c r="AJ573" s="67">
        <v>144</v>
      </c>
      <c r="AK573" s="73" t="s">
        <v>66</v>
      </c>
      <c r="AL573" s="67">
        <v>13278</v>
      </c>
      <c r="AM573" s="72" t="s">
        <v>773</v>
      </c>
      <c r="AN573" s="72" t="s">
        <v>772</v>
      </c>
      <c r="AO573" s="138">
        <f t="shared" si="728"/>
        <v>65981.086891447252</v>
      </c>
      <c r="AP573" s="65">
        <f t="shared" si="729"/>
        <v>21993.69563048242</v>
      </c>
      <c r="AQ573" s="65">
        <f t="shared" si="730"/>
        <v>4398.7391260964841</v>
      </c>
      <c r="AR573" s="65">
        <f t="shared" si="731"/>
        <v>338.17260105262494</v>
      </c>
      <c r="AS573" s="65">
        <f t="shared" si="732"/>
        <v>0</v>
      </c>
      <c r="AT573" s="65">
        <f t="shared" si="733"/>
        <v>10996.84781524121</v>
      </c>
      <c r="AU573" s="65">
        <f t="shared" si="734"/>
        <v>2199.3695630482416</v>
      </c>
      <c r="AV573" s="65">
        <f t="shared" si="735"/>
        <v>17660.365681240324</v>
      </c>
      <c r="AW573" s="65">
        <f t="shared" si="736"/>
        <v>8050.792388175335</v>
      </c>
      <c r="AX573" s="65">
        <f t="shared" si="737"/>
        <v>5217.6230642743585</v>
      </c>
      <c r="AY573" s="65">
        <f t="shared" si="738"/>
        <v>0</v>
      </c>
      <c r="AZ573" s="65">
        <f t="shared" si="739"/>
        <v>3035.1299970065734</v>
      </c>
      <c r="BB573" s="64"/>
      <c r="BC573" s="66"/>
      <c r="BD573" s="66"/>
      <c r="BE573" s="66"/>
    </row>
    <row r="574" spans="2:57" ht="21" customHeight="1" x14ac:dyDescent="0.2">
      <c r="B574" s="67">
        <v>145</v>
      </c>
      <c r="C574" s="73" t="s">
        <v>66</v>
      </c>
      <c r="D574" s="67">
        <v>13403</v>
      </c>
      <c r="E574" s="73" t="s">
        <v>774</v>
      </c>
      <c r="F574" s="72" t="s">
        <v>772</v>
      </c>
      <c r="G574" s="250">
        <v>45352</v>
      </c>
      <c r="H574" s="56" t="str">
        <f t="shared" si="707"/>
        <v>0 AÑOS</v>
      </c>
      <c r="I574" s="57">
        <v>3524.630710013208</v>
      </c>
      <c r="J574" s="58"/>
      <c r="K574" s="58"/>
      <c r="L574" s="59"/>
      <c r="M574" s="60">
        <v>4.0000000000000002E-4</v>
      </c>
      <c r="N574" s="61">
        <f t="shared" si="724"/>
        <v>140.98522840052831</v>
      </c>
      <c r="O574" s="58">
        <f t="shared" si="708"/>
        <v>3665.6159384137363</v>
      </c>
      <c r="P574" s="61">
        <f t="shared" si="709"/>
        <v>7331.2318768274727</v>
      </c>
      <c r="Q574" s="61">
        <f t="shared" si="710"/>
        <v>5498.423907620605</v>
      </c>
      <c r="R574" s="61">
        <f t="shared" si="711"/>
        <v>1832.8079692068682</v>
      </c>
      <c r="S574" s="61">
        <f t="shared" si="712"/>
        <v>244.37439589424909</v>
      </c>
      <c r="T574" s="58">
        <f t="shared" si="713"/>
        <v>280.51736904700851</v>
      </c>
      <c r="U574" s="61">
        <f t="shared" si="714"/>
        <v>2749.2119538103025</v>
      </c>
      <c r="V574" s="58">
        <f t="shared" si="715"/>
        <v>916.40398460343408</v>
      </c>
      <c r="W574" s="101">
        <v>0.05</v>
      </c>
      <c r="X574" s="63">
        <f t="shared" si="716"/>
        <v>366.56159384137368</v>
      </c>
      <c r="Y574" s="61">
        <v>28.181050087718745</v>
      </c>
      <c r="Z574" s="61">
        <v>0</v>
      </c>
      <c r="AA574" s="61">
        <f t="shared" si="717"/>
        <v>916.4039846034342</v>
      </c>
      <c r="AB574" s="61">
        <f t="shared" si="718"/>
        <v>183.28079692068681</v>
      </c>
      <c r="AC574" s="61">
        <v>1471.6971401033604</v>
      </c>
      <c r="AD574" s="61">
        <v>670.89936568127791</v>
      </c>
      <c r="AE574" s="61">
        <v>434.80192202286321</v>
      </c>
      <c r="AF574" s="61">
        <v>0</v>
      </c>
      <c r="AG574" s="61">
        <f t="shared" si="719"/>
        <v>252.92749975054778</v>
      </c>
      <c r="AH574" s="64"/>
      <c r="AI574" s="64"/>
      <c r="AJ574" s="67">
        <v>145</v>
      </c>
      <c r="AK574" s="73" t="s">
        <v>66</v>
      </c>
      <c r="AL574" s="67">
        <v>13403</v>
      </c>
      <c r="AM574" s="73" t="s">
        <v>774</v>
      </c>
      <c r="AN574" s="72" t="s">
        <v>772</v>
      </c>
      <c r="AO574" s="138">
        <f t="shared" si="728"/>
        <v>65981.086891447252</v>
      </c>
      <c r="AP574" s="65">
        <f t="shared" si="729"/>
        <v>21993.69563048242</v>
      </c>
      <c r="AQ574" s="65">
        <f t="shared" si="730"/>
        <v>4398.7391260964841</v>
      </c>
      <c r="AR574" s="65">
        <f t="shared" si="731"/>
        <v>338.17260105262494</v>
      </c>
      <c r="AS574" s="65">
        <f t="shared" si="732"/>
        <v>0</v>
      </c>
      <c r="AT574" s="65">
        <f t="shared" si="733"/>
        <v>10996.84781524121</v>
      </c>
      <c r="AU574" s="65">
        <f t="shared" si="734"/>
        <v>2199.3695630482416</v>
      </c>
      <c r="AV574" s="65">
        <f t="shared" si="735"/>
        <v>17660.365681240324</v>
      </c>
      <c r="AW574" s="65">
        <f t="shared" si="736"/>
        <v>8050.792388175335</v>
      </c>
      <c r="AX574" s="65">
        <f t="shared" si="737"/>
        <v>5217.6230642743585</v>
      </c>
      <c r="AY574" s="65">
        <f t="shared" si="738"/>
        <v>0</v>
      </c>
      <c r="AZ574" s="65">
        <f t="shared" si="739"/>
        <v>3035.1299970065734</v>
      </c>
      <c r="BB574" s="64"/>
      <c r="BC574" s="66"/>
      <c r="BD574" s="66"/>
      <c r="BE574" s="66"/>
    </row>
    <row r="575" spans="2:57" ht="21" customHeight="1" x14ac:dyDescent="0.2">
      <c r="B575" s="67">
        <v>146</v>
      </c>
      <c r="C575" s="73" t="s">
        <v>66</v>
      </c>
      <c r="D575" s="67">
        <v>13280</v>
      </c>
      <c r="E575" s="72" t="s">
        <v>775</v>
      </c>
      <c r="F575" s="72" t="s">
        <v>772</v>
      </c>
      <c r="G575" s="123">
        <v>41796</v>
      </c>
      <c r="H575" s="56" t="str">
        <f t="shared" si="707"/>
        <v>10 AÑOS</v>
      </c>
      <c r="I575" s="57">
        <v>3524.630710013208</v>
      </c>
      <c r="J575" s="58"/>
      <c r="K575" s="58"/>
      <c r="L575" s="59"/>
      <c r="M575" s="60">
        <v>4.0000000000000002E-4</v>
      </c>
      <c r="N575" s="61">
        <f t="shared" si="724"/>
        <v>140.98522840052831</v>
      </c>
      <c r="O575" s="58">
        <f t="shared" si="708"/>
        <v>3665.6159384137363</v>
      </c>
      <c r="P575" s="61">
        <f t="shared" si="709"/>
        <v>7331.2318768274727</v>
      </c>
      <c r="Q575" s="61">
        <f t="shared" si="710"/>
        <v>5498.423907620605</v>
      </c>
      <c r="R575" s="61">
        <f t="shared" si="711"/>
        <v>1832.8079692068682</v>
      </c>
      <c r="S575" s="61">
        <f t="shared" si="712"/>
        <v>244.37439589424909</v>
      </c>
      <c r="T575" s="58">
        <f t="shared" si="713"/>
        <v>280.51736904700851</v>
      </c>
      <c r="U575" s="61">
        <f t="shared" si="714"/>
        <v>2749.2119538103025</v>
      </c>
      <c r="V575" s="58">
        <f t="shared" si="715"/>
        <v>916.40398460343408</v>
      </c>
      <c r="W575" s="101">
        <v>0.05</v>
      </c>
      <c r="X575" s="63">
        <f t="shared" si="716"/>
        <v>366.56159384137368</v>
      </c>
      <c r="Y575" s="61">
        <v>28.181050087718745</v>
      </c>
      <c r="Z575" s="61">
        <v>0</v>
      </c>
      <c r="AA575" s="61">
        <f t="shared" si="717"/>
        <v>916.4039846034342</v>
      </c>
      <c r="AB575" s="61">
        <f t="shared" si="718"/>
        <v>183.28079692068681</v>
      </c>
      <c r="AC575" s="61">
        <v>1471.6971401033604</v>
      </c>
      <c r="AD575" s="61">
        <v>670.89936568127791</v>
      </c>
      <c r="AE575" s="61">
        <v>434.80192202286321</v>
      </c>
      <c r="AF575" s="61">
        <v>0</v>
      </c>
      <c r="AG575" s="61">
        <f t="shared" si="719"/>
        <v>252.92749975054778</v>
      </c>
      <c r="AH575" s="64"/>
      <c r="AI575" s="64"/>
      <c r="AJ575" s="67">
        <v>146</v>
      </c>
      <c r="AK575" s="73" t="s">
        <v>66</v>
      </c>
      <c r="AL575" s="67">
        <v>13280</v>
      </c>
      <c r="AM575" s="72" t="s">
        <v>775</v>
      </c>
      <c r="AN575" s="72" t="s">
        <v>772</v>
      </c>
      <c r="AO575" s="138">
        <f t="shared" si="728"/>
        <v>65981.086891447252</v>
      </c>
      <c r="AP575" s="65">
        <f t="shared" si="729"/>
        <v>21993.69563048242</v>
      </c>
      <c r="AQ575" s="65">
        <f t="shared" si="730"/>
        <v>4398.7391260964841</v>
      </c>
      <c r="AR575" s="65">
        <f t="shared" si="731"/>
        <v>338.17260105262494</v>
      </c>
      <c r="AS575" s="65">
        <f t="shared" si="732"/>
        <v>0</v>
      </c>
      <c r="AT575" s="65">
        <f t="shared" si="733"/>
        <v>10996.84781524121</v>
      </c>
      <c r="AU575" s="65">
        <f t="shared" si="734"/>
        <v>2199.3695630482416</v>
      </c>
      <c r="AV575" s="65">
        <f t="shared" si="735"/>
        <v>17660.365681240324</v>
      </c>
      <c r="AW575" s="65">
        <f t="shared" si="736"/>
        <v>8050.792388175335</v>
      </c>
      <c r="AX575" s="65">
        <f t="shared" si="737"/>
        <v>5217.6230642743585</v>
      </c>
      <c r="AY575" s="65">
        <f t="shared" si="738"/>
        <v>0</v>
      </c>
      <c r="AZ575" s="65">
        <f t="shared" si="739"/>
        <v>3035.1299970065734</v>
      </c>
      <c r="BB575" s="64"/>
      <c r="BC575" s="66"/>
      <c r="BD575" s="66"/>
      <c r="BE575" s="66"/>
    </row>
    <row r="576" spans="2:57" ht="21" customHeight="1" x14ac:dyDescent="0.2">
      <c r="B576" s="67">
        <v>147</v>
      </c>
      <c r="C576" s="73" t="s">
        <v>66</v>
      </c>
      <c r="D576" s="67">
        <v>13193</v>
      </c>
      <c r="E576" s="72" t="s">
        <v>776</v>
      </c>
      <c r="F576" s="72" t="s">
        <v>777</v>
      </c>
      <c r="G576" s="123">
        <v>38838</v>
      </c>
      <c r="H576" s="56" t="str">
        <f t="shared" si="707"/>
        <v>18 AÑOS</v>
      </c>
      <c r="I576" s="57">
        <v>3517.8507004132075</v>
      </c>
      <c r="J576" s="58"/>
      <c r="K576" s="58"/>
      <c r="L576" s="59"/>
      <c r="M576" s="60">
        <v>4.0000000000000002E-4</v>
      </c>
      <c r="N576" s="61">
        <f t="shared" si="724"/>
        <v>140.71402801652832</v>
      </c>
      <c r="O576" s="58">
        <f t="shared" si="708"/>
        <v>3658.5647284297356</v>
      </c>
      <c r="P576" s="61">
        <f t="shared" si="709"/>
        <v>7317.1294568594712</v>
      </c>
      <c r="Q576" s="61">
        <f t="shared" si="710"/>
        <v>5487.8470926446034</v>
      </c>
      <c r="R576" s="61">
        <f t="shared" si="711"/>
        <v>1829.2823642148678</v>
      </c>
      <c r="S576" s="61">
        <f t="shared" si="712"/>
        <v>243.90431522864904</v>
      </c>
      <c r="T576" s="58">
        <f t="shared" si="713"/>
        <v>279.97776345096622</v>
      </c>
      <c r="U576" s="61">
        <f t="shared" si="714"/>
        <v>2743.9235463223017</v>
      </c>
      <c r="V576" s="58">
        <f t="shared" si="715"/>
        <v>914.64118210743391</v>
      </c>
      <c r="W576" s="101">
        <v>7.4999999999999997E-2</v>
      </c>
      <c r="X576" s="63">
        <f t="shared" si="716"/>
        <v>548.78470926446028</v>
      </c>
      <c r="Y576" s="61">
        <v>27.504133929254635</v>
      </c>
      <c r="Z576" s="61">
        <v>0</v>
      </c>
      <c r="AA576" s="61">
        <f t="shared" si="717"/>
        <v>914.64118210743391</v>
      </c>
      <c r="AB576" s="61">
        <f t="shared" si="718"/>
        <v>182.92823642148679</v>
      </c>
      <c r="AC576" s="61">
        <v>1470.2196377648711</v>
      </c>
      <c r="AD576" s="61">
        <v>669.60881795750333</v>
      </c>
      <c r="AE576" s="61">
        <v>433.96553334899767</v>
      </c>
      <c r="AF576" s="61">
        <v>0</v>
      </c>
      <c r="AG576" s="61">
        <f t="shared" si="719"/>
        <v>252.44096626165177</v>
      </c>
      <c r="AH576" s="64"/>
      <c r="AI576" s="64"/>
      <c r="AJ576" s="67">
        <v>147</v>
      </c>
      <c r="AK576" s="73" t="s">
        <v>66</v>
      </c>
      <c r="AL576" s="67">
        <v>13193</v>
      </c>
      <c r="AM576" s="72" t="s">
        <v>776</v>
      </c>
      <c r="AN576" s="72" t="s">
        <v>777</v>
      </c>
      <c r="AO576" s="138">
        <f t="shared" si="728"/>
        <v>65854.165111735245</v>
      </c>
      <c r="AP576" s="65">
        <f t="shared" si="729"/>
        <v>21951.388370578414</v>
      </c>
      <c r="AQ576" s="65">
        <f t="shared" si="730"/>
        <v>6585.4165111735238</v>
      </c>
      <c r="AR576" s="65">
        <f t="shared" si="731"/>
        <v>330.04960715105562</v>
      </c>
      <c r="AS576" s="65">
        <f t="shared" si="732"/>
        <v>0</v>
      </c>
      <c r="AT576" s="65">
        <f t="shared" si="733"/>
        <v>10975.694185289207</v>
      </c>
      <c r="AU576" s="65">
        <f t="shared" si="734"/>
        <v>2195.1388370578416</v>
      </c>
      <c r="AV576" s="65">
        <f t="shared" si="735"/>
        <v>17642.635653178455</v>
      </c>
      <c r="AW576" s="65">
        <f t="shared" si="736"/>
        <v>8035.30581549004</v>
      </c>
      <c r="AX576" s="65">
        <f t="shared" si="737"/>
        <v>5207.5864001879718</v>
      </c>
      <c r="AY576" s="65">
        <f t="shared" si="738"/>
        <v>0</v>
      </c>
      <c r="AZ576" s="65">
        <f t="shared" si="739"/>
        <v>3029.2915951398213</v>
      </c>
      <c r="BB576" s="64"/>
      <c r="BC576" s="66"/>
      <c r="BD576" s="66"/>
      <c r="BE576" s="66"/>
    </row>
    <row r="577" spans="2:57" ht="21" customHeight="1" x14ac:dyDescent="0.2">
      <c r="B577" s="67">
        <v>148</v>
      </c>
      <c r="C577" s="73" t="s">
        <v>66</v>
      </c>
      <c r="D577" s="67">
        <v>13251</v>
      </c>
      <c r="E577" s="72" t="s">
        <v>778</v>
      </c>
      <c r="F577" s="72" t="s">
        <v>777</v>
      </c>
      <c r="G577" s="123">
        <v>40513</v>
      </c>
      <c r="H577" s="56" t="str">
        <f t="shared" si="707"/>
        <v>14 AÑOS</v>
      </c>
      <c r="I577" s="57">
        <v>3518.1914044132072</v>
      </c>
      <c r="J577" s="58"/>
      <c r="K577" s="58"/>
      <c r="L577" s="59"/>
      <c r="M577" s="60">
        <v>4.0000000000000002E-4</v>
      </c>
      <c r="N577" s="61">
        <f t="shared" si="724"/>
        <v>140.72765617652828</v>
      </c>
      <c r="O577" s="58">
        <f t="shared" si="708"/>
        <v>3658.9190605897356</v>
      </c>
      <c r="P577" s="61">
        <f t="shared" si="709"/>
        <v>7317.8381211794713</v>
      </c>
      <c r="Q577" s="61">
        <f t="shared" si="710"/>
        <v>5488.3785908846039</v>
      </c>
      <c r="R577" s="61">
        <f t="shared" si="711"/>
        <v>1829.4595302948678</v>
      </c>
      <c r="S577" s="61">
        <f t="shared" si="712"/>
        <v>243.92793737264904</v>
      </c>
      <c r="T577" s="58">
        <f t="shared" si="713"/>
        <v>280.00487931006381</v>
      </c>
      <c r="U577" s="61">
        <f t="shared" si="714"/>
        <v>2744.189295442302</v>
      </c>
      <c r="V577" s="58">
        <f t="shared" si="715"/>
        <v>914.72976514743391</v>
      </c>
      <c r="W577" s="101">
        <v>0.05</v>
      </c>
      <c r="X577" s="63">
        <f t="shared" si="716"/>
        <v>365.89190605897357</v>
      </c>
      <c r="Y577" s="61">
        <v>27.538149816614691</v>
      </c>
      <c r="Z577" s="61">
        <v>0</v>
      </c>
      <c r="AA577" s="61">
        <f t="shared" si="717"/>
        <v>914.7297651474338</v>
      </c>
      <c r="AB577" s="61">
        <f t="shared" si="718"/>
        <v>182.94595302948679</v>
      </c>
      <c r="AC577" s="61">
        <v>1470.2938841135394</v>
      </c>
      <c r="AD577" s="61">
        <v>669.67366960191418</v>
      </c>
      <c r="AE577" s="61">
        <v>434.00756293059897</v>
      </c>
      <c r="AF577" s="61">
        <v>0</v>
      </c>
      <c r="AG577" s="61">
        <f t="shared" si="719"/>
        <v>252.46541518069176</v>
      </c>
      <c r="AH577" s="64"/>
      <c r="AI577" s="64"/>
      <c r="AJ577" s="67">
        <v>148</v>
      </c>
      <c r="AK577" s="73" t="s">
        <v>66</v>
      </c>
      <c r="AL577" s="67">
        <v>13251</v>
      </c>
      <c r="AM577" s="72" t="s">
        <v>778</v>
      </c>
      <c r="AN577" s="72" t="s">
        <v>777</v>
      </c>
      <c r="AO577" s="138">
        <f t="shared" si="728"/>
        <v>65860.543090615247</v>
      </c>
      <c r="AP577" s="65">
        <f t="shared" si="729"/>
        <v>21953.514363538416</v>
      </c>
      <c r="AQ577" s="65">
        <f t="shared" si="730"/>
        <v>4390.7028727076831</v>
      </c>
      <c r="AR577" s="65">
        <f t="shared" si="731"/>
        <v>330.45779779937629</v>
      </c>
      <c r="AS577" s="65">
        <f t="shared" si="732"/>
        <v>0</v>
      </c>
      <c r="AT577" s="65">
        <f t="shared" si="733"/>
        <v>10976.757181769206</v>
      </c>
      <c r="AU577" s="65">
        <f t="shared" si="734"/>
        <v>2195.3514363538416</v>
      </c>
      <c r="AV577" s="65">
        <f t="shared" si="735"/>
        <v>17643.526609362474</v>
      </c>
      <c r="AW577" s="65">
        <f t="shared" si="736"/>
        <v>8036.0840352229698</v>
      </c>
      <c r="AX577" s="65">
        <f t="shared" si="737"/>
        <v>5208.090755167188</v>
      </c>
      <c r="AY577" s="65">
        <f t="shared" si="738"/>
        <v>0</v>
      </c>
      <c r="AZ577" s="65">
        <f t="shared" si="739"/>
        <v>3029.5849821683014</v>
      </c>
      <c r="BB577" s="64"/>
      <c r="BC577" s="66"/>
      <c r="BD577" s="66"/>
      <c r="BE577" s="66"/>
    </row>
    <row r="578" spans="2:57" ht="21" customHeight="1" x14ac:dyDescent="0.2">
      <c r="B578" s="67">
        <v>149</v>
      </c>
      <c r="C578" s="73" t="s">
        <v>66</v>
      </c>
      <c r="D578" s="67">
        <v>13191</v>
      </c>
      <c r="E578" s="72" t="s">
        <v>779</v>
      </c>
      <c r="F578" s="72" t="s">
        <v>777</v>
      </c>
      <c r="G578" s="123">
        <v>38777</v>
      </c>
      <c r="H578" s="56" t="str">
        <f t="shared" si="707"/>
        <v>18 AÑOS</v>
      </c>
      <c r="I578" s="57">
        <v>3518.1914044132072</v>
      </c>
      <c r="J578" s="58"/>
      <c r="K578" s="58"/>
      <c r="L578" s="59"/>
      <c r="M578" s="60">
        <v>4.0000000000000002E-4</v>
      </c>
      <c r="N578" s="61">
        <f t="shared" si="724"/>
        <v>140.72765617652828</v>
      </c>
      <c r="O578" s="58">
        <f t="shared" si="708"/>
        <v>3658.9190605897356</v>
      </c>
      <c r="P578" s="61">
        <f t="shared" si="709"/>
        <v>7317.8381211794713</v>
      </c>
      <c r="Q578" s="61">
        <f t="shared" si="710"/>
        <v>5488.3785908846039</v>
      </c>
      <c r="R578" s="61">
        <f t="shared" si="711"/>
        <v>1829.4595302948678</v>
      </c>
      <c r="S578" s="61">
        <f t="shared" si="712"/>
        <v>243.92793737264904</v>
      </c>
      <c r="T578" s="58">
        <f t="shared" si="713"/>
        <v>280.00487931006381</v>
      </c>
      <c r="U578" s="61">
        <f t="shared" si="714"/>
        <v>2744.189295442302</v>
      </c>
      <c r="V578" s="58">
        <f t="shared" si="715"/>
        <v>914.72976514743391</v>
      </c>
      <c r="W578" s="101">
        <v>7.4999999999999997E-2</v>
      </c>
      <c r="X578" s="63">
        <f t="shared" si="716"/>
        <v>548.83785908846028</v>
      </c>
      <c r="Y578" s="61">
        <v>27.538149816614691</v>
      </c>
      <c r="Z578" s="61">
        <v>0</v>
      </c>
      <c r="AA578" s="61">
        <f t="shared" si="717"/>
        <v>914.7297651474338</v>
      </c>
      <c r="AB578" s="61">
        <f t="shared" si="718"/>
        <v>182.94595302948679</v>
      </c>
      <c r="AC578" s="61">
        <v>1470.2938841135394</v>
      </c>
      <c r="AD578" s="61">
        <v>669.67366960191418</v>
      </c>
      <c r="AE578" s="61">
        <v>434.00756293059897</v>
      </c>
      <c r="AF578" s="61">
        <v>0</v>
      </c>
      <c r="AG578" s="61">
        <f t="shared" si="719"/>
        <v>252.46541518069176</v>
      </c>
      <c r="AH578" s="64"/>
      <c r="AI578" s="64"/>
      <c r="AJ578" s="67">
        <v>149</v>
      </c>
      <c r="AK578" s="73" t="s">
        <v>66</v>
      </c>
      <c r="AL578" s="67">
        <v>13191</v>
      </c>
      <c r="AM578" s="72" t="s">
        <v>779</v>
      </c>
      <c r="AN578" s="72" t="s">
        <v>777</v>
      </c>
      <c r="AO578" s="138">
        <f t="shared" si="728"/>
        <v>65860.543090615247</v>
      </c>
      <c r="AP578" s="65">
        <f t="shared" si="729"/>
        <v>21953.514363538416</v>
      </c>
      <c r="AQ578" s="65">
        <f t="shared" si="730"/>
        <v>6586.0543090615229</v>
      </c>
      <c r="AR578" s="65">
        <f t="shared" si="731"/>
        <v>330.45779779937629</v>
      </c>
      <c r="AS578" s="65">
        <f t="shared" si="732"/>
        <v>0</v>
      </c>
      <c r="AT578" s="65">
        <f t="shared" si="733"/>
        <v>10976.757181769206</v>
      </c>
      <c r="AU578" s="65">
        <f t="shared" si="734"/>
        <v>2195.3514363538416</v>
      </c>
      <c r="AV578" s="65">
        <f t="shared" si="735"/>
        <v>17643.526609362474</v>
      </c>
      <c r="AW578" s="65">
        <f t="shared" si="736"/>
        <v>8036.0840352229698</v>
      </c>
      <c r="AX578" s="65">
        <f t="shared" si="737"/>
        <v>5208.090755167188</v>
      </c>
      <c r="AY578" s="65">
        <f t="shared" si="738"/>
        <v>0</v>
      </c>
      <c r="AZ578" s="65">
        <f t="shared" si="739"/>
        <v>3029.5849821683014</v>
      </c>
      <c r="BB578" s="64"/>
      <c r="BC578" s="66"/>
      <c r="BD578" s="66"/>
      <c r="BE578" s="66"/>
    </row>
    <row r="579" spans="2:57" ht="21" customHeight="1" x14ac:dyDescent="0.2">
      <c r="B579" s="67">
        <v>150</v>
      </c>
      <c r="C579" s="73" t="s">
        <v>66</v>
      </c>
      <c r="D579" s="67">
        <v>13176</v>
      </c>
      <c r="E579" s="72" t="s">
        <v>780</v>
      </c>
      <c r="F579" s="72" t="s">
        <v>777</v>
      </c>
      <c r="G579" s="123">
        <v>38458</v>
      </c>
      <c r="H579" s="56" t="str">
        <f t="shared" si="707"/>
        <v>19 AÑOS</v>
      </c>
      <c r="I579" s="57">
        <v>3517.8507004132075</v>
      </c>
      <c r="J579" s="58"/>
      <c r="K579" s="58"/>
      <c r="L579" s="59"/>
      <c r="M579" s="60">
        <v>4.0000000000000002E-4</v>
      </c>
      <c r="N579" s="61">
        <f t="shared" si="724"/>
        <v>140.71402801652832</v>
      </c>
      <c r="O579" s="58">
        <f t="shared" si="708"/>
        <v>3658.5647284297356</v>
      </c>
      <c r="P579" s="61">
        <f t="shared" si="709"/>
        <v>7317.1294568594712</v>
      </c>
      <c r="Q579" s="61">
        <f t="shared" si="710"/>
        <v>5487.8470926446034</v>
      </c>
      <c r="R579" s="61">
        <f t="shared" si="711"/>
        <v>1829.2823642148678</v>
      </c>
      <c r="S579" s="61">
        <f t="shared" si="712"/>
        <v>243.90431522864904</v>
      </c>
      <c r="T579" s="58">
        <f t="shared" si="713"/>
        <v>279.97776345096622</v>
      </c>
      <c r="U579" s="61">
        <f t="shared" si="714"/>
        <v>2743.9235463223017</v>
      </c>
      <c r="V579" s="58">
        <f t="shared" si="715"/>
        <v>914.64118210743391</v>
      </c>
      <c r="W579" s="101">
        <v>7.4999999999999997E-2</v>
      </c>
      <c r="X579" s="63">
        <f t="shared" si="716"/>
        <v>548.78470926446028</v>
      </c>
      <c r="Y579" s="61">
        <v>27.504133929254635</v>
      </c>
      <c r="Z579" s="61">
        <v>0</v>
      </c>
      <c r="AA579" s="61">
        <f t="shared" si="717"/>
        <v>914.64118210743391</v>
      </c>
      <c r="AB579" s="61">
        <f t="shared" si="718"/>
        <v>182.92823642148679</v>
      </c>
      <c r="AC579" s="61">
        <v>1470.2196377648711</v>
      </c>
      <c r="AD579" s="61">
        <v>669.60881795750333</v>
      </c>
      <c r="AE579" s="61">
        <v>433.96553334899767</v>
      </c>
      <c r="AF579" s="61">
        <v>0</v>
      </c>
      <c r="AG579" s="61">
        <f t="shared" si="719"/>
        <v>252.44096626165177</v>
      </c>
      <c r="AH579" s="64"/>
      <c r="AI579" s="64"/>
      <c r="AJ579" s="67">
        <v>150</v>
      </c>
      <c r="AK579" s="73" t="s">
        <v>66</v>
      </c>
      <c r="AL579" s="67">
        <v>13176</v>
      </c>
      <c r="AM579" s="72" t="s">
        <v>780</v>
      </c>
      <c r="AN579" s="72" t="s">
        <v>777</v>
      </c>
      <c r="AO579" s="138">
        <f t="shared" si="728"/>
        <v>65854.165111735245</v>
      </c>
      <c r="AP579" s="65">
        <f t="shared" si="729"/>
        <v>21951.388370578414</v>
      </c>
      <c r="AQ579" s="65">
        <f t="shared" si="730"/>
        <v>6585.4165111735238</v>
      </c>
      <c r="AR579" s="65">
        <f t="shared" si="731"/>
        <v>330.04960715105562</v>
      </c>
      <c r="AS579" s="65">
        <f t="shared" si="732"/>
        <v>0</v>
      </c>
      <c r="AT579" s="65">
        <f t="shared" si="733"/>
        <v>10975.694185289207</v>
      </c>
      <c r="AU579" s="65">
        <f t="shared" si="734"/>
        <v>2195.1388370578416</v>
      </c>
      <c r="AV579" s="65">
        <f t="shared" si="735"/>
        <v>17642.635653178455</v>
      </c>
      <c r="AW579" s="65">
        <f t="shared" si="736"/>
        <v>8035.30581549004</v>
      </c>
      <c r="AX579" s="65">
        <f t="shared" si="737"/>
        <v>5207.5864001879718</v>
      </c>
      <c r="AY579" s="65">
        <f t="shared" si="738"/>
        <v>0</v>
      </c>
      <c r="AZ579" s="65">
        <f t="shared" si="739"/>
        <v>3029.2915951398213</v>
      </c>
      <c r="BB579" s="64"/>
      <c r="BC579" s="66"/>
      <c r="BD579" s="66"/>
      <c r="BE579" s="66"/>
    </row>
    <row r="580" spans="2:57" ht="21" customHeight="1" x14ac:dyDescent="0.2">
      <c r="B580" s="67">
        <v>151</v>
      </c>
      <c r="C580" s="73" t="s">
        <v>66</v>
      </c>
      <c r="D580" s="67">
        <v>13399</v>
      </c>
      <c r="E580" s="73" t="s">
        <v>781</v>
      </c>
      <c r="F580" s="72" t="s">
        <v>782</v>
      </c>
      <c r="G580" s="123">
        <v>45352</v>
      </c>
      <c r="H580" s="56"/>
      <c r="I580" s="57">
        <v>3051.7346232214736</v>
      </c>
      <c r="J580" s="58"/>
      <c r="K580" s="58"/>
      <c r="L580" s="59"/>
      <c r="M580" s="60">
        <v>1.1900000000000001E-3</v>
      </c>
      <c r="N580" s="61">
        <f>I580*0.1198</f>
        <v>365.59780786193255</v>
      </c>
      <c r="O580" s="58">
        <f t="shared" si="708"/>
        <v>3417.3324310834059</v>
      </c>
      <c r="P580" s="61">
        <f t="shared" si="709"/>
        <v>6834.6648621668119</v>
      </c>
      <c r="Q580" s="61">
        <f t="shared" si="710"/>
        <v>5125.9986466251084</v>
      </c>
      <c r="R580" s="61">
        <f t="shared" si="711"/>
        <v>1708.666215541703</v>
      </c>
      <c r="S580" s="61">
        <f t="shared" si="712"/>
        <v>227.82216207222706</v>
      </c>
      <c r="T580" s="58">
        <f t="shared" si="713"/>
        <v>261.51705984270944</v>
      </c>
      <c r="U580" s="61">
        <f t="shared" si="714"/>
        <v>2562.9993233125542</v>
      </c>
      <c r="V580" s="58">
        <f t="shared" si="715"/>
        <v>854.33310777085148</v>
      </c>
      <c r="W580" s="101">
        <v>0</v>
      </c>
      <c r="X580" s="63">
        <f t="shared" si="716"/>
        <v>0</v>
      </c>
      <c r="Y580" s="61">
        <v>0</v>
      </c>
      <c r="Z580" s="61">
        <v>25.27</v>
      </c>
      <c r="AA580" s="61">
        <f t="shared" si="717"/>
        <v>854.33310777085137</v>
      </c>
      <c r="AB580" s="61">
        <f t="shared" si="718"/>
        <v>170.86662155417028</v>
      </c>
      <c r="AC580" s="61">
        <v>1420.53</v>
      </c>
      <c r="AD580" s="61">
        <v>626.21</v>
      </c>
      <c r="AE580" s="61">
        <v>405.84</v>
      </c>
      <c r="AF580" s="61">
        <v>0</v>
      </c>
      <c r="AG580" s="61">
        <f t="shared" si="719"/>
        <v>235.79593774475501</v>
      </c>
      <c r="AH580" s="64"/>
      <c r="AI580" s="64"/>
      <c r="AJ580" s="67">
        <v>151</v>
      </c>
      <c r="AK580" s="73" t="s">
        <v>66</v>
      </c>
      <c r="AL580" s="67">
        <v>13399</v>
      </c>
      <c r="AM580" s="73" t="s">
        <v>781</v>
      </c>
      <c r="AN580" s="72" t="s">
        <v>782</v>
      </c>
      <c r="AO580" s="138">
        <f t="shared" ref="AO580:AP582" si="740">Q580*10</f>
        <v>51259.986466251081</v>
      </c>
      <c r="AP580" s="65">
        <f t="shared" si="740"/>
        <v>17086.662155417031</v>
      </c>
      <c r="AQ580" s="65">
        <f t="shared" ref="AQ580:AZ582" si="741">X580*10</f>
        <v>0</v>
      </c>
      <c r="AR580" s="65">
        <f t="shared" si="741"/>
        <v>0</v>
      </c>
      <c r="AS580" s="65">
        <f t="shared" si="741"/>
        <v>252.7</v>
      </c>
      <c r="AT580" s="65">
        <f t="shared" si="741"/>
        <v>8543.3310777085135</v>
      </c>
      <c r="AU580" s="65">
        <f t="shared" si="741"/>
        <v>1708.6662155417027</v>
      </c>
      <c r="AV580" s="65">
        <f t="shared" si="741"/>
        <v>14205.3</v>
      </c>
      <c r="AW580" s="65">
        <f t="shared" si="741"/>
        <v>6262.1</v>
      </c>
      <c r="AX580" s="65">
        <f t="shared" si="741"/>
        <v>4058.3999999999996</v>
      </c>
      <c r="AY580" s="65">
        <f t="shared" si="741"/>
        <v>0</v>
      </c>
      <c r="AZ580" s="65">
        <f t="shared" si="741"/>
        <v>2357.9593774475502</v>
      </c>
      <c r="BB580" s="64"/>
      <c r="BC580" s="66"/>
      <c r="BD580" s="66"/>
      <c r="BE580" s="66"/>
    </row>
    <row r="581" spans="2:57" ht="21" customHeight="1" x14ac:dyDescent="0.2">
      <c r="B581" s="67">
        <v>152</v>
      </c>
      <c r="C581" s="73" t="s">
        <v>66</v>
      </c>
      <c r="D581" s="67">
        <v>13314</v>
      </c>
      <c r="E581" s="72" t="s">
        <v>783</v>
      </c>
      <c r="F581" s="72" t="s">
        <v>784</v>
      </c>
      <c r="G581" s="123">
        <v>42156</v>
      </c>
      <c r="H581" s="56" t="str">
        <f t="shared" si="707"/>
        <v>9 AÑOS</v>
      </c>
      <c r="I581" s="57">
        <v>2972.0027741214717</v>
      </c>
      <c r="J581" s="58"/>
      <c r="K581" s="58"/>
      <c r="L581" s="59"/>
      <c r="M581" s="60">
        <v>1.49E-3</v>
      </c>
      <c r="N581" s="61">
        <f>I581*0.151</f>
        <v>448.77241889234222</v>
      </c>
      <c r="O581" s="58">
        <f t="shared" si="708"/>
        <v>3420.7751930138138</v>
      </c>
      <c r="P581" s="61">
        <f t="shared" si="709"/>
        <v>6841.5503860276276</v>
      </c>
      <c r="Q581" s="61">
        <f t="shared" si="710"/>
        <v>5131.1627895207203</v>
      </c>
      <c r="R581" s="61">
        <f t="shared" si="711"/>
        <v>1710.3875965069069</v>
      </c>
      <c r="S581" s="61">
        <f t="shared" si="712"/>
        <v>228.05167953425425</v>
      </c>
      <c r="T581" s="58">
        <f t="shared" si="713"/>
        <v>261.78052293737045</v>
      </c>
      <c r="U581" s="61">
        <f t="shared" si="714"/>
        <v>2565.5813947603601</v>
      </c>
      <c r="V581" s="58">
        <f t="shared" si="715"/>
        <v>855.19379825345345</v>
      </c>
      <c r="W581" s="101">
        <v>2.5000000000000001E-2</v>
      </c>
      <c r="X581" s="63">
        <f t="shared" si="716"/>
        <v>171.03875965069071</v>
      </c>
      <c r="Y581" s="61">
        <v>0</v>
      </c>
      <c r="Z581" s="61">
        <v>25.27</v>
      </c>
      <c r="AA581" s="61">
        <f t="shared" si="717"/>
        <v>855.19379825345334</v>
      </c>
      <c r="AB581" s="61">
        <f t="shared" si="718"/>
        <v>171.03875965069071</v>
      </c>
      <c r="AC581" s="61">
        <v>1420.53</v>
      </c>
      <c r="AD581" s="61">
        <v>626.21</v>
      </c>
      <c r="AE581" s="61">
        <v>405.84</v>
      </c>
      <c r="AF581" s="61">
        <v>0</v>
      </c>
      <c r="AG581" s="61">
        <f t="shared" si="719"/>
        <v>236.03348831795316</v>
      </c>
      <c r="AH581" s="64"/>
      <c r="AI581" s="64"/>
      <c r="AJ581" s="67">
        <v>152</v>
      </c>
      <c r="AK581" s="73" t="s">
        <v>66</v>
      </c>
      <c r="AL581" s="67">
        <v>13314</v>
      </c>
      <c r="AM581" s="72" t="s">
        <v>783</v>
      </c>
      <c r="AN581" s="72" t="s">
        <v>784</v>
      </c>
      <c r="AO581" s="138">
        <f t="shared" si="740"/>
        <v>51311.627895207203</v>
      </c>
      <c r="AP581" s="65">
        <f t="shared" si="740"/>
        <v>17103.87596506907</v>
      </c>
      <c r="AQ581" s="65">
        <f t="shared" si="741"/>
        <v>1710.3875965069071</v>
      </c>
      <c r="AR581" s="65">
        <f t="shared" si="741"/>
        <v>0</v>
      </c>
      <c r="AS581" s="65">
        <f t="shared" si="741"/>
        <v>252.7</v>
      </c>
      <c r="AT581" s="65">
        <f t="shared" si="741"/>
        <v>8551.9379825345331</v>
      </c>
      <c r="AU581" s="65">
        <f t="shared" si="741"/>
        <v>1710.3875965069071</v>
      </c>
      <c r="AV581" s="65">
        <f t="shared" si="741"/>
        <v>14205.3</v>
      </c>
      <c r="AW581" s="65">
        <f t="shared" si="741"/>
        <v>6262.1</v>
      </c>
      <c r="AX581" s="65">
        <f t="shared" si="741"/>
        <v>4058.3999999999996</v>
      </c>
      <c r="AY581" s="65">
        <f t="shared" si="741"/>
        <v>0</v>
      </c>
      <c r="AZ581" s="65">
        <f t="shared" si="741"/>
        <v>2360.3348831795315</v>
      </c>
      <c r="BB581" s="64"/>
      <c r="BC581" s="66"/>
      <c r="BD581" s="66"/>
      <c r="BE581" s="66"/>
    </row>
    <row r="582" spans="2:57" ht="21" customHeight="1" x14ac:dyDescent="0.2">
      <c r="B582" s="67">
        <v>153</v>
      </c>
      <c r="C582" s="73" t="s">
        <v>66</v>
      </c>
      <c r="D582" s="127">
        <v>13401</v>
      </c>
      <c r="E582" s="73" t="s">
        <v>785</v>
      </c>
      <c r="F582" s="72" t="s">
        <v>786</v>
      </c>
      <c r="G582" s="249">
        <v>45352</v>
      </c>
      <c r="H582" s="56" t="str">
        <f t="shared" si="707"/>
        <v>0 AÑOS</v>
      </c>
      <c r="I582" s="57">
        <v>2913.8808039874148</v>
      </c>
      <c r="J582" s="58"/>
      <c r="K582" s="58"/>
      <c r="L582" s="59"/>
      <c r="M582" s="60">
        <v>1.74E-3</v>
      </c>
      <c r="N582" s="61">
        <f>I582*0.174</f>
        <v>507.01525989381014</v>
      </c>
      <c r="O582" s="58">
        <f t="shared" si="708"/>
        <v>3420.896063881225</v>
      </c>
      <c r="P582" s="61">
        <f t="shared" si="709"/>
        <v>6841.79212776245</v>
      </c>
      <c r="Q582" s="61">
        <f t="shared" si="710"/>
        <v>5131.344095821838</v>
      </c>
      <c r="R582" s="61">
        <f t="shared" si="711"/>
        <v>1710.4480319406125</v>
      </c>
      <c r="S582" s="61">
        <f t="shared" si="712"/>
        <v>228.05973759208166</v>
      </c>
      <c r="T582" s="58">
        <f t="shared" si="713"/>
        <v>261.78977278195055</v>
      </c>
      <c r="U582" s="61">
        <f t="shared" si="714"/>
        <v>2565.672047910919</v>
      </c>
      <c r="V582" s="58">
        <f t="shared" si="715"/>
        <v>855.22401597030625</v>
      </c>
      <c r="W582" s="101">
        <v>0</v>
      </c>
      <c r="X582" s="63">
        <f t="shared" si="716"/>
        <v>0</v>
      </c>
      <c r="Y582" s="61">
        <v>0</v>
      </c>
      <c r="Z582" s="61">
        <v>25.27</v>
      </c>
      <c r="AA582" s="61">
        <f t="shared" si="717"/>
        <v>855.22401597030614</v>
      </c>
      <c r="AB582" s="61">
        <f t="shared" si="718"/>
        <v>171.04480319406125</v>
      </c>
      <c r="AC582" s="61">
        <v>1420.53</v>
      </c>
      <c r="AD582" s="61">
        <v>626.21</v>
      </c>
      <c r="AE582" s="61">
        <v>405.84</v>
      </c>
      <c r="AF582" s="61">
        <v>0</v>
      </c>
      <c r="AG582" s="61">
        <f t="shared" si="719"/>
        <v>236.0418284078045</v>
      </c>
      <c r="AH582" s="64"/>
      <c r="AI582" s="64"/>
      <c r="AJ582" s="67">
        <v>153</v>
      </c>
      <c r="AK582" s="73" t="s">
        <v>66</v>
      </c>
      <c r="AL582" s="127">
        <v>13401</v>
      </c>
      <c r="AM582" s="73" t="s">
        <v>785</v>
      </c>
      <c r="AN582" s="72" t="s">
        <v>786</v>
      </c>
      <c r="AO582" s="138">
        <f t="shared" si="740"/>
        <v>51313.44095821838</v>
      </c>
      <c r="AP582" s="65">
        <f t="shared" si="740"/>
        <v>17104.480319406124</v>
      </c>
      <c r="AQ582" s="65">
        <f t="shared" si="741"/>
        <v>0</v>
      </c>
      <c r="AR582" s="65">
        <f t="shared" si="741"/>
        <v>0</v>
      </c>
      <c r="AS582" s="65">
        <f t="shared" si="741"/>
        <v>252.7</v>
      </c>
      <c r="AT582" s="65">
        <f t="shared" si="741"/>
        <v>8552.2401597030621</v>
      </c>
      <c r="AU582" s="65">
        <f t="shared" si="741"/>
        <v>1710.4480319406125</v>
      </c>
      <c r="AV582" s="65">
        <f t="shared" si="741"/>
        <v>14205.3</v>
      </c>
      <c r="AW582" s="65">
        <f t="shared" si="741"/>
        <v>6262.1</v>
      </c>
      <c r="AX582" s="65">
        <f t="shared" si="741"/>
        <v>4058.3999999999996</v>
      </c>
      <c r="AY582" s="65">
        <f t="shared" si="741"/>
        <v>0</v>
      </c>
      <c r="AZ582" s="65">
        <f t="shared" si="741"/>
        <v>2360.418284078045</v>
      </c>
      <c r="BB582" s="64"/>
      <c r="BC582" s="66"/>
      <c r="BD582" s="66"/>
      <c r="BE582" s="66"/>
    </row>
    <row r="583" spans="2:57" ht="21" customHeight="1" x14ac:dyDescent="0.2">
      <c r="B583" s="67">
        <v>154</v>
      </c>
      <c r="C583" s="73" t="s">
        <v>66</v>
      </c>
      <c r="D583" s="67">
        <v>13048</v>
      </c>
      <c r="E583" s="72" t="s">
        <v>787</v>
      </c>
      <c r="F583" s="72" t="s">
        <v>788</v>
      </c>
      <c r="G583" s="123">
        <v>35977</v>
      </c>
      <c r="H583" s="56" t="str">
        <f t="shared" si="707"/>
        <v>26 AÑOS</v>
      </c>
      <c r="I583" s="57">
        <v>7061.8446371050904</v>
      </c>
      <c r="J583" s="58"/>
      <c r="K583" s="58"/>
      <c r="L583" s="59"/>
      <c r="M583" s="60">
        <v>4.0000000000000002E-4</v>
      </c>
      <c r="N583" s="61">
        <f t="shared" si="724"/>
        <v>282.47378548420363</v>
      </c>
      <c r="O583" s="58">
        <f t="shared" si="708"/>
        <v>7344.3184225892937</v>
      </c>
      <c r="P583" s="61">
        <f t="shared" si="709"/>
        <v>14688.636845178587</v>
      </c>
      <c r="Q583" s="61">
        <f t="shared" si="710"/>
        <v>11016.47763388394</v>
      </c>
      <c r="R583" s="61">
        <f t="shared" si="711"/>
        <v>3672.1592112946469</v>
      </c>
      <c r="S583" s="61">
        <f t="shared" si="712"/>
        <v>489.62122817261957</v>
      </c>
      <c r="T583" s="58">
        <f t="shared" si="713"/>
        <v>562.03620781935001</v>
      </c>
      <c r="U583" s="61">
        <f t="shared" si="714"/>
        <v>5508.2388169419701</v>
      </c>
      <c r="V583" s="58">
        <f t="shared" si="715"/>
        <v>1836.0796056473234</v>
      </c>
      <c r="W583" s="101">
        <v>7.4999999999999997E-2</v>
      </c>
      <c r="X583" s="63">
        <f t="shared" si="716"/>
        <v>1101.647763388394</v>
      </c>
      <c r="Y583" s="61">
        <v>887.59322142143037</v>
      </c>
      <c r="Z583" s="61">
        <v>0</v>
      </c>
      <c r="AA583" s="61">
        <f t="shared" si="717"/>
        <v>1836.0796056473234</v>
      </c>
      <c r="AB583" s="61">
        <f t="shared" si="718"/>
        <v>367.21592112946468</v>
      </c>
      <c r="AC583" s="61">
        <v>2348.6673164201397</v>
      </c>
      <c r="AD583" s="61">
        <v>1473.1250025049073</v>
      </c>
      <c r="AE583" s="61">
        <v>871.15612211999257</v>
      </c>
      <c r="AF583" s="61">
        <v>0</v>
      </c>
      <c r="AG583" s="61">
        <f t="shared" si="719"/>
        <v>506.75797115866123</v>
      </c>
      <c r="AH583" s="64"/>
      <c r="AI583" s="64"/>
      <c r="AJ583" s="67">
        <v>154</v>
      </c>
      <c r="AK583" s="73" t="s">
        <v>66</v>
      </c>
      <c r="AL583" s="67">
        <v>13048</v>
      </c>
      <c r="AM583" s="72" t="s">
        <v>787</v>
      </c>
      <c r="AN583" s="72" t="s">
        <v>788</v>
      </c>
      <c r="AO583" s="138">
        <f>Q583*12</f>
        <v>132197.73160660727</v>
      </c>
      <c r="AP583" s="65">
        <f>R583*12</f>
        <v>44065.910535535761</v>
      </c>
      <c r="AQ583" s="65">
        <f t="shared" ref="AQ583:AZ583" si="742">X583*12</f>
        <v>13219.773160660727</v>
      </c>
      <c r="AR583" s="65">
        <f t="shared" si="742"/>
        <v>10651.118657057164</v>
      </c>
      <c r="AS583" s="65">
        <f t="shared" si="742"/>
        <v>0</v>
      </c>
      <c r="AT583" s="65">
        <f t="shared" si="742"/>
        <v>22032.95526776788</v>
      </c>
      <c r="AU583" s="65">
        <f t="shared" si="742"/>
        <v>4406.5910535535759</v>
      </c>
      <c r="AV583" s="65">
        <f t="shared" si="742"/>
        <v>28184.007797041675</v>
      </c>
      <c r="AW583" s="65">
        <f t="shared" si="742"/>
        <v>17677.500030058887</v>
      </c>
      <c r="AX583" s="65">
        <f t="shared" si="742"/>
        <v>10453.87346543991</v>
      </c>
      <c r="AY583" s="65">
        <f t="shared" si="742"/>
        <v>0</v>
      </c>
      <c r="AZ583" s="65">
        <f t="shared" si="742"/>
        <v>6081.0956539039344</v>
      </c>
      <c r="BB583" s="64"/>
      <c r="BC583" s="66"/>
      <c r="BD583" s="66"/>
      <c r="BE583" s="66"/>
    </row>
    <row r="584" spans="2:57" s="364" customFormat="1" ht="21" customHeight="1" x14ac:dyDescent="0.2">
      <c r="B584" s="365">
        <v>155</v>
      </c>
      <c r="C584" s="372" t="s">
        <v>66</v>
      </c>
      <c r="D584" s="365">
        <v>11134</v>
      </c>
      <c r="E584" s="411" t="s">
        <v>55</v>
      </c>
      <c r="F584" s="371" t="s">
        <v>789</v>
      </c>
      <c r="G584" s="363">
        <v>38838</v>
      </c>
      <c r="H584" s="56" t="str">
        <f t="shared" si="707"/>
        <v>18 AÑOS</v>
      </c>
      <c r="I584" s="57">
        <v>4894.4866299329215</v>
      </c>
      <c r="J584" s="58"/>
      <c r="K584" s="58"/>
      <c r="L584" s="59"/>
      <c r="M584" s="60">
        <v>4.0000000000000002E-4</v>
      </c>
      <c r="N584" s="61">
        <f t="shared" si="724"/>
        <v>195.77946519731685</v>
      </c>
      <c r="O584" s="58">
        <f t="shared" si="708"/>
        <v>5090.2660951302387</v>
      </c>
      <c r="P584" s="61">
        <f t="shared" si="709"/>
        <v>10180.532190260477</v>
      </c>
      <c r="Q584" s="61">
        <f t="shared" si="710"/>
        <v>7635.399142695358</v>
      </c>
      <c r="R584" s="61">
        <f t="shared" si="711"/>
        <v>2545.1330475651193</v>
      </c>
      <c r="S584" s="61">
        <f t="shared" si="712"/>
        <v>339.35107300868259</v>
      </c>
      <c r="T584" s="58">
        <f t="shared" si="713"/>
        <v>389.54109670666674</v>
      </c>
      <c r="U584" s="61">
        <f t="shared" si="714"/>
        <v>3817.699571347679</v>
      </c>
      <c r="V584" s="58">
        <f t="shared" si="715"/>
        <v>1272.5665237825597</v>
      </c>
      <c r="W584" s="101">
        <v>7.4999999999999997E-2</v>
      </c>
      <c r="X584" s="63">
        <f t="shared" si="716"/>
        <v>763.53991426953576</v>
      </c>
      <c r="Y584" s="61">
        <v>517.77069072525489</v>
      </c>
      <c r="Z584" s="61">
        <v>0</v>
      </c>
      <c r="AA584" s="61">
        <f t="shared" si="717"/>
        <v>1272.5665237825597</v>
      </c>
      <c r="AB584" s="61">
        <f t="shared" si="718"/>
        <v>254.51330475651196</v>
      </c>
      <c r="AC584" s="61">
        <v>1796.1455868399037</v>
      </c>
      <c r="AD584" s="61">
        <v>966.66570853242888</v>
      </c>
      <c r="AE584" s="61">
        <v>603.78869989533348</v>
      </c>
      <c r="AF584" s="61">
        <v>0</v>
      </c>
      <c r="AG584" s="61">
        <f t="shared" si="719"/>
        <v>351.22836056398648</v>
      </c>
      <c r="AH584" s="64"/>
      <c r="AI584" s="64"/>
      <c r="AJ584" s="365">
        <v>155</v>
      </c>
      <c r="AK584" s="372" t="s">
        <v>66</v>
      </c>
      <c r="AL584" s="365">
        <v>11134</v>
      </c>
      <c r="AM584" s="411" t="s">
        <v>55</v>
      </c>
      <c r="AN584" s="371" t="s">
        <v>789</v>
      </c>
      <c r="AO584" s="368">
        <f>Q584*9.5</f>
        <v>72536.291855605901</v>
      </c>
      <c r="AP584" s="368">
        <f>R584*9.5</f>
        <v>24178.763951868634</v>
      </c>
      <c r="AQ584" s="368">
        <f t="shared" ref="AQ584:AZ584" si="743">X584*9.5</f>
        <v>7253.6291855605896</v>
      </c>
      <c r="AR584" s="368">
        <f t="shared" si="743"/>
        <v>4918.8215618899212</v>
      </c>
      <c r="AS584" s="368">
        <f t="shared" si="743"/>
        <v>0</v>
      </c>
      <c r="AT584" s="368">
        <f t="shared" si="743"/>
        <v>12089.381975934317</v>
      </c>
      <c r="AU584" s="368">
        <f t="shared" si="743"/>
        <v>2417.8763951868636</v>
      </c>
      <c r="AV584" s="368">
        <f t="shared" si="743"/>
        <v>17063.383074979083</v>
      </c>
      <c r="AW584" s="368">
        <f t="shared" si="743"/>
        <v>9183.3242310580736</v>
      </c>
      <c r="AX584" s="368">
        <f t="shared" si="743"/>
        <v>5735.9926490056678</v>
      </c>
      <c r="AY584" s="368">
        <f t="shared" si="743"/>
        <v>0</v>
      </c>
      <c r="AZ584" s="368">
        <f t="shared" si="743"/>
        <v>3336.6694253578717</v>
      </c>
      <c r="BB584" s="64"/>
      <c r="BC584" s="66"/>
      <c r="BD584" s="66"/>
      <c r="BE584" s="66"/>
    </row>
    <row r="585" spans="2:57" ht="21" customHeight="1" x14ac:dyDescent="0.2">
      <c r="B585" s="67">
        <v>156</v>
      </c>
      <c r="C585" s="73" t="s">
        <v>66</v>
      </c>
      <c r="D585" s="67">
        <v>11058</v>
      </c>
      <c r="E585" s="112" t="s">
        <v>790</v>
      </c>
      <c r="F585" s="72" t="s">
        <v>791</v>
      </c>
      <c r="G585" s="123">
        <v>34309</v>
      </c>
      <c r="H585" s="56" t="str">
        <f t="shared" si="707"/>
        <v>31 AÑOS</v>
      </c>
      <c r="I585" s="57">
        <v>4673.2873014835423</v>
      </c>
      <c r="J585" s="58"/>
      <c r="K585" s="58"/>
      <c r="L585" s="59"/>
      <c r="M585" s="60">
        <v>4.0000000000000002E-4</v>
      </c>
      <c r="N585" s="61">
        <f t="shared" si="724"/>
        <v>186.93149205934171</v>
      </c>
      <c r="O585" s="58">
        <f t="shared" si="708"/>
        <v>4860.2187935428838</v>
      </c>
      <c r="P585" s="61">
        <f t="shared" si="709"/>
        <v>9720.4375870857675</v>
      </c>
      <c r="Q585" s="61">
        <f t="shared" si="710"/>
        <v>7290.3281903143252</v>
      </c>
      <c r="R585" s="61">
        <f t="shared" si="711"/>
        <v>2430.1093967714419</v>
      </c>
      <c r="S585" s="61">
        <f t="shared" si="712"/>
        <v>324.01458623619226</v>
      </c>
      <c r="T585" s="58">
        <f t="shared" si="713"/>
        <v>371.93634354052506</v>
      </c>
      <c r="U585" s="61">
        <f t="shared" si="714"/>
        <v>3645.1640951571626</v>
      </c>
      <c r="V585" s="58">
        <f t="shared" si="715"/>
        <v>1215.0546983857209</v>
      </c>
      <c r="W585" s="101">
        <v>7.4999999999999997E-2</v>
      </c>
      <c r="X585" s="63">
        <f t="shared" si="716"/>
        <v>729.0328190314325</v>
      </c>
      <c r="Y585" s="61">
        <v>480.2269711061985</v>
      </c>
      <c r="Z585" s="61">
        <v>0</v>
      </c>
      <c r="AA585" s="61">
        <f t="shared" si="717"/>
        <v>1215.0546983857209</v>
      </c>
      <c r="AB585" s="61">
        <f t="shared" si="718"/>
        <v>243.01093967714419</v>
      </c>
      <c r="AC585" s="61">
        <v>1739.7555326207118</v>
      </c>
      <c r="AD585" s="61">
        <v>922.97863331299004</v>
      </c>
      <c r="AE585" s="61">
        <v>576.5013324878139</v>
      </c>
      <c r="AF585" s="61">
        <v>0</v>
      </c>
      <c r="AG585" s="61">
        <f t="shared" si="719"/>
        <v>335.35509675445894</v>
      </c>
      <c r="AH585" s="64"/>
      <c r="AI585" s="64"/>
      <c r="AJ585" s="67">
        <v>156</v>
      </c>
      <c r="AK585" s="73" t="s">
        <v>66</v>
      </c>
      <c r="AL585" s="67">
        <v>11058</v>
      </c>
      <c r="AM585" s="112" t="s">
        <v>790</v>
      </c>
      <c r="AN585" s="72" t="s">
        <v>791</v>
      </c>
      <c r="AO585" s="138">
        <f>Q585*12</f>
        <v>87483.938283771902</v>
      </c>
      <c r="AP585" s="65">
        <f>R585*12</f>
        <v>29161.312761257301</v>
      </c>
      <c r="AQ585" s="65">
        <f t="shared" ref="AQ585:AZ586" si="744">X585*12</f>
        <v>8748.3938283771895</v>
      </c>
      <c r="AR585" s="65">
        <f t="shared" si="744"/>
        <v>5762.7236532743818</v>
      </c>
      <c r="AS585" s="65">
        <f t="shared" si="744"/>
        <v>0</v>
      </c>
      <c r="AT585" s="65">
        <f t="shared" si="744"/>
        <v>14580.65638062865</v>
      </c>
      <c r="AU585" s="65">
        <f t="shared" si="744"/>
        <v>2916.1312761257304</v>
      </c>
      <c r="AV585" s="65">
        <f t="shared" si="744"/>
        <v>20877.066391448541</v>
      </c>
      <c r="AW585" s="65">
        <f t="shared" si="744"/>
        <v>11075.74359975588</v>
      </c>
      <c r="AX585" s="65">
        <f t="shared" si="744"/>
        <v>6918.0159898537668</v>
      </c>
      <c r="AY585" s="65">
        <f t="shared" si="744"/>
        <v>0</v>
      </c>
      <c r="AZ585" s="65">
        <f t="shared" si="744"/>
        <v>4024.2611610535073</v>
      </c>
      <c r="BB585" s="64"/>
      <c r="BC585" s="66"/>
      <c r="BD585" s="66"/>
      <c r="BE585" s="66"/>
    </row>
    <row r="586" spans="2:57" ht="21" customHeight="1" x14ac:dyDescent="0.2">
      <c r="B586" s="67">
        <v>157</v>
      </c>
      <c r="C586" s="73" t="s">
        <v>66</v>
      </c>
      <c r="D586" s="67">
        <v>11101</v>
      </c>
      <c r="E586" s="112" t="s">
        <v>792</v>
      </c>
      <c r="F586" s="72" t="s">
        <v>793</v>
      </c>
      <c r="G586" s="123">
        <v>38764</v>
      </c>
      <c r="H586" s="56" t="str">
        <f t="shared" si="707"/>
        <v>18 AÑOS</v>
      </c>
      <c r="I586" s="57">
        <v>4423.6086225019426</v>
      </c>
      <c r="J586" s="58"/>
      <c r="K586" s="58"/>
      <c r="L586" s="59"/>
      <c r="M586" s="60">
        <v>4.0000000000000002E-4</v>
      </c>
      <c r="N586" s="61">
        <f t="shared" si="724"/>
        <v>176.94434490007771</v>
      </c>
      <c r="O586" s="58">
        <f t="shared" si="708"/>
        <v>4600.5529674020199</v>
      </c>
      <c r="P586" s="61">
        <f t="shared" si="709"/>
        <v>9201.1059348040399</v>
      </c>
      <c r="Q586" s="61">
        <f t="shared" si="710"/>
        <v>6900.8294511030299</v>
      </c>
      <c r="R586" s="61">
        <f t="shared" si="711"/>
        <v>2300.27648370101</v>
      </c>
      <c r="S586" s="61">
        <f t="shared" si="712"/>
        <v>306.70353116013467</v>
      </c>
      <c r="T586" s="58">
        <f t="shared" si="713"/>
        <v>352.06498341871855</v>
      </c>
      <c r="U586" s="61">
        <f t="shared" si="714"/>
        <v>3450.4147255515149</v>
      </c>
      <c r="V586" s="58">
        <f t="shared" si="715"/>
        <v>1150.138241850505</v>
      </c>
      <c r="W586" s="101">
        <v>7.4999999999999997E-2</v>
      </c>
      <c r="X586" s="63">
        <f t="shared" si="716"/>
        <v>690.08294511030294</v>
      </c>
      <c r="Y586" s="61">
        <v>187.64950828000963</v>
      </c>
      <c r="Z586" s="61">
        <v>0</v>
      </c>
      <c r="AA586" s="61">
        <f t="shared" si="717"/>
        <v>1150.138241850505</v>
      </c>
      <c r="AB586" s="61">
        <f t="shared" si="718"/>
        <v>230.02764837010102</v>
      </c>
      <c r="AC586" s="61">
        <v>1676.1052749827436</v>
      </c>
      <c r="AD586" s="61">
        <v>860.57004221954469</v>
      </c>
      <c r="AE586" s="61">
        <v>545.70072429901381</v>
      </c>
      <c r="AF586" s="61">
        <v>0</v>
      </c>
      <c r="AG586" s="61">
        <f t="shared" si="719"/>
        <v>317.43815475073939</v>
      </c>
      <c r="AH586" s="64"/>
      <c r="AI586" s="64"/>
      <c r="AJ586" s="67">
        <v>157</v>
      </c>
      <c r="AK586" s="73" t="s">
        <v>66</v>
      </c>
      <c r="AL586" s="67">
        <v>11101</v>
      </c>
      <c r="AM586" s="112" t="s">
        <v>792</v>
      </c>
      <c r="AN586" s="72" t="s">
        <v>793</v>
      </c>
      <c r="AO586" s="138">
        <f>Q586*12</f>
        <v>82809.953413236362</v>
      </c>
      <c r="AP586" s="65">
        <f>R586*12</f>
        <v>27603.31780441212</v>
      </c>
      <c r="AQ586" s="65">
        <f t="shared" si="744"/>
        <v>8280.9953413236362</v>
      </c>
      <c r="AR586" s="65">
        <f t="shared" si="744"/>
        <v>2251.7940993601155</v>
      </c>
      <c r="AS586" s="65">
        <f t="shared" si="744"/>
        <v>0</v>
      </c>
      <c r="AT586" s="65">
        <f t="shared" si="744"/>
        <v>13801.65890220606</v>
      </c>
      <c r="AU586" s="65">
        <f t="shared" si="744"/>
        <v>2760.3317804412122</v>
      </c>
      <c r="AV586" s="65">
        <f t="shared" si="744"/>
        <v>20113.263299792925</v>
      </c>
      <c r="AW586" s="65">
        <f t="shared" si="744"/>
        <v>10326.840506634537</v>
      </c>
      <c r="AX586" s="65">
        <f t="shared" si="744"/>
        <v>6548.4086915881653</v>
      </c>
      <c r="AY586" s="65">
        <f t="shared" si="744"/>
        <v>0</v>
      </c>
      <c r="AZ586" s="65">
        <f t="shared" si="744"/>
        <v>3809.2578570088726</v>
      </c>
      <c r="BB586" s="64"/>
      <c r="BC586" s="66"/>
      <c r="BD586" s="66"/>
      <c r="BE586" s="66"/>
    </row>
    <row r="587" spans="2:57" s="251" customFormat="1" ht="21" customHeight="1" x14ac:dyDescent="0.2">
      <c r="B587" s="252">
        <v>158</v>
      </c>
      <c r="C587" s="202" t="s">
        <v>66</v>
      </c>
      <c r="D587" s="252">
        <v>16602</v>
      </c>
      <c r="E587" s="253" t="s">
        <v>794</v>
      </c>
      <c r="F587" s="254" t="s">
        <v>795</v>
      </c>
      <c r="G587" s="255">
        <v>44713</v>
      </c>
      <c r="H587" s="256" t="str">
        <f xml:space="preserve"> CONCATENATE(DATEDIF(G587,H$5,"Y")," AÑOS")</f>
        <v>2 AÑOS</v>
      </c>
      <c r="I587" s="257">
        <v>3200.1597485137295</v>
      </c>
      <c r="J587" s="257"/>
      <c r="K587" s="258"/>
      <c r="L587" s="259"/>
      <c r="M587" s="247">
        <v>6.7000000000000002E-4</v>
      </c>
      <c r="N587" s="185">
        <f t="shared" ref="N587" si="745">I587*0.069</f>
        <v>220.81102264744734</v>
      </c>
      <c r="O587" s="260">
        <f>I587+N587</f>
        <v>3420.9707711611768</v>
      </c>
      <c r="P587" s="185">
        <f>O587*2</f>
        <v>6841.9415423223536</v>
      </c>
      <c r="Q587" s="185">
        <f>P587*0.75</f>
        <v>5131.456156741765</v>
      </c>
      <c r="R587" s="185">
        <f>P587*0.25</f>
        <v>1710.4853855805884</v>
      </c>
      <c r="S587" s="185">
        <f>(P587/30)</f>
        <v>228.06471807741178</v>
      </c>
      <c r="T587" s="260">
        <f>S587*1.1479</f>
        <v>261.79548988106097</v>
      </c>
      <c r="U587" s="185">
        <f>O587*0.75</f>
        <v>2565.7280783708825</v>
      </c>
      <c r="V587" s="260">
        <f>O587*0.25</f>
        <v>855.2426927902942</v>
      </c>
      <c r="W587" s="261">
        <v>0</v>
      </c>
      <c r="X587" s="262">
        <f>P587*W587</f>
        <v>0</v>
      </c>
      <c r="Y587" s="185"/>
      <c r="Z587" s="185">
        <v>25.27</v>
      </c>
      <c r="AA587" s="185">
        <f>(S587*45)/12</f>
        <v>855.2426927902942</v>
      </c>
      <c r="AB587" s="185">
        <f>(S587*10)*(0.45*2)/12</f>
        <v>171.04853855805882</v>
      </c>
      <c r="AC587" s="185">
        <v>1420.53</v>
      </c>
      <c r="AD587" s="185">
        <v>626.21</v>
      </c>
      <c r="AE587" s="185">
        <v>405.84</v>
      </c>
      <c r="AF587" s="185">
        <v>0</v>
      </c>
      <c r="AG587" s="185">
        <f>(P587+AA587+AB587)*0.03</f>
        <v>236.0469832101212</v>
      </c>
      <c r="AH587" s="263"/>
      <c r="AI587" s="263"/>
      <c r="AJ587" s="252">
        <v>158</v>
      </c>
      <c r="AK587" s="202" t="s">
        <v>66</v>
      </c>
      <c r="AL587" s="252">
        <v>16602</v>
      </c>
      <c r="AM587" s="253" t="s">
        <v>794</v>
      </c>
      <c r="AN587" s="254" t="s">
        <v>795</v>
      </c>
      <c r="AO587" s="264">
        <f t="shared" ref="AO587:AO600" si="746">Q587*10</f>
        <v>51314.561567417652</v>
      </c>
      <c r="AP587" s="265">
        <f t="shared" ref="AP587:AP600" si="747">R587*10</f>
        <v>17104.853855805883</v>
      </c>
      <c r="AQ587" s="265">
        <f t="shared" ref="AQ587:AQ600" si="748">X587*10</f>
        <v>0</v>
      </c>
      <c r="AR587" s="265">
        <f t="shared" ref="AR587:AR600" si="749">Y587*10</f>
        <v>0</v>
      </c>
      <c r="AS587" s="265">
        <f t="shared" ref="AS587:AS600" si="750">Z587*10</f>
        <v>252.7</v>
      </c>
      <c r="AT587" s="265">
        <f t="shared" ref="AT587:AT600" si="751">AA587*10</f>
        <v>8552.4269279029413</v>
      </c>
      <c r="AU587" s="265">
        <f t="shared" ref="AU587:AU600" si="752">AB587*10</f>
        <v>1710.4853855805882</v>
      </c>
      <c r="AV587" s="265">
        <f t="shared" ref="AV587:AV600" si="753">AC587*10</f>
        <v>14205.3</v>
      </c>
      <c r="AW587" s="265">
        <f t="shared" ref="AW587:AW600" si="754">AD587*10</f>
        <v>6262.1</v>
      </c>
      <c r="AX587" s="265">
        <f t="shared" ref="AX587:AX600" si="755">AE587*10</f>
        <v>4058.3999999999996</v>
      </c>
      <c r="AY587" s="265">
        <f t="shared" ref="AY587:AY600" si="756">AF587*10</f>
        <v>0</v>
      </c>
      <c r="AZ587" s="265">
        <f t="shared" ref="AZ587:AZ600" si="757">AG587*10</f>
        <v>2360.469832101212</v>
      </c>
      <c r="BB587" s="263"/>
      <c r="BC587" s="263"/>
      <c r="BD587" s="263"/>
      <c r="BE587" s="263"/>
    </row>
    <row r="588" spans="2:57" s="251" customFormat="1" ht="21" customHeight="1" x14ac:dyDescent="0.2">
      <c r="B588" s="252">
        <v>159</v>
      </c>
      <c r="C588" s="202" t="s">
        <v>66</v>
      </c>
      <c r="D588" s="252">
        <v>16603</v>
      </c>
      <c r="E588" s="253" t="s">
        <v>796</v>
      </c>
      <c r="F588" s="254" t="s">
        <v>795</v>
      </c>
      <c r="G588" s="255">
        <v>44713</v>
      </c>
      <c r="H588" s="256" t="str">
        <f xml:space="preserve"> CONCATENATE(DATEDIF(G588,H$5,"Y")," AÑOS")</f>
        <v>2 AÑOS</v>
      </c>
      <c r="I588" s="266">
        <v>3200.1597485137295</v>
      </c>
      <c r="J588" s="257"/>
      <c r="K588" s="258"/>
      <c r="L588" s="259"/>
      <c r="M588" s="247">
        <v>6.7000000000000002E-4</v>
      </c>
      <c r="N588" s="185">
        <f>I588*0.069</f>
        <v>220.81102264744734</v>
      </c>
      <c r="O588" s="260">
        <f>I588+N588</f>
        <v>3420.9707711611768</v>
      </c>
      <c r="P588" s="185">
        <f>O588*2</f>
        <v>6841.9415423223536</v>
      </c>
      <c r="Q588" s="185">
        <f>P588*0.75</f>
        <v>5131.456156741765</v>
      </c>
      <c r="R588" s="185">
        <f>P588*0.25</f>
        <v>1710.4853855805884</v>
      </c>
      <c r="S588" s="185">
        <f>(P588/30)</f>
        <v>228.06471807741178</v>
      </c>
      <c r="T588" s="260">
        <f>S588*1.1479</f>
        <v>261.79548988106097</v>
      </c>
      <c r="U588" s="185">
        <f>O588*0.75</f>
        <v>2565.7280783708825</v>
      </c>
      <c r="V588" s="260">
        <f>O588*0.25</f>
        <v>855.2426927902942</v>
      </c>
      <c r="W588" s="261">
        <v>0</v>
      </c>
      <c r="X588" s="262">
        <f>P588*W588</f>
        <v>0</v>
      </c>
      <c r="Y588" s="185"/>
      <c r="Z588" s="185">
        <v>25.27</v>
      </c>
      <c r="AA588" s="185">
        <f>(S588*45)/12</f>
        <v>855.2426927902942</v>
      </c>
      <c r="AB588" s="185">
        <f>(S588*10)*(0.45*2)/12</f>
        <v>171.04853855805882</v>
      </c>
      <c r="AC588" s="185">
        <v>1420.53</v>
      </c>
      <c r="AD588" s="185">
        <v>626.21</v>
      </c>
      <c r="AE588" s="185">
        <v>405.84</v>
      </c>
      <c r="AF588" s="185">
        <v>0</v>
      </c>
      <c r="AG588" s="185">
        <f>(P588+AA588+AB588)*0.03</f>
        <v>236.0469832101212</v>
      </c>
      <c r="AH588" s="263"/>
      <c r="AI588" s="263"/>
      <c r="AJ588" s="252">
        <v>159</v>
      </c>
      <c r="AK588" s="202" t="s">
        <v>66</v>
      </c>
      <c r="AL588" s="252">
        <v>16603</v>
      </c>
      <c r="AM588" s="253" t="s">
        <v>796</v>
      </c>
      <c r="AN588" s="254" t="s">
        <v>795</v>
      </c>
      <c r="AO588" s="264">
        <f t="shared" si="746"/>
        <v>51314.561567417652</v>
      </c>
      <c r="AP588" s="265">
        <f t="shared" si="747"/>
        <v>17104.853855805883</v>
      </c>
      <c r="AQ588" s="265">
        <f t="shared" si="748"/>
        <v>0</v>
      </c>
      <c r="AR588" s="265">
        <f t="shared" si="749"/>
        <v>0</v>
      </c>
      <c r="AS588" s="265">
        <f t="shared" si="750"/>
        <v>252.7</v>
      </c>
      <c r="AT588" s="265">
        <f t="shared" si="751"/>
        <v>8552.4269279029413</v>
      </c>
      <c r="AU588" s="265">
        <f t="shared" si="752"/>
        <v>1710.4853855805882</v>
      </c>
      <c r="AV588" s="265">
        <f t="shared" si="753"/>
        <v>14205.3</v>
      </c>
      <c r="AW588" s="265">
        <f t="shared" si="754"/>
        <v>6262.1</v>
      </c>
      <c r="AX588" s="265">
        <f t="shared" si="755"/>
        <v>4058.3999999999996</v>
      </c>
      <c r="AY588" s="265">
        <f t="shared" si="756"/>
        <v>0</v>
      </c>
      <c r="AZ588" s="265">
        <f t="shared" si="757"/>
        <v>2360.469832101212</v>
      </c>
      <c r="BB588" s="263"/>
      <c r="BC588" s="263"/>
      <c r="BD588" s="263"/>
      <c r="BE588" s="263"/>
    </row>
    <row r="589" spans="2:57" s="251" customFormat="1" ht="21" customHeight="1" x14ac:dyDescent="0.2">
      <c r="B589" s="252">
        <v>160</v>
      </c>
      <c r="C589" s="202" t="s">
        <v>66</v>
      </c>
      <c r="D589" s="252">
        <v>13391</v>
      </c>
      <c r="E589" s="202" t="s">
        <v>797</v>
      </c>
      <c r="F589" s="254" t="s">
        <v>798</v>
      </c>
      <c r="G589" s="255">
        <v>45108</v>
      </c>
      <c r="H589" s="256" t="str">
        <f xml:space="preserve"> CONCATENATE(DATEDIF(G589,H$5,"Y")," AÑOS")</f>
        <v>1 AÑOS</v>
      </c>
      <c r="I589" s="257">
        <v>2913.8808039874148</v>
      </c>
      <c r="J589" s="260"/>
      <c r="K589" s="258"/>
      <c r="L589" s="259"/>
      <c r="M589" s="247">
        <v>1.74E-3</v>
      </c>
      <c r="N589" s="185">
        <f t="shared" ref="N589" si="758">I589*0.174</f>
        <v>507.01525989381014</v>
      </c>
      <c r="O589" s="260">
        <f>I589+N589</f>
        <v>3420.896063881225</v>
      </c>
      <c r="P589" s="185">
        <f>O589*2</f>
        <v>6841.79212776245</v>
      </c>
      <c r="Q589" s="185">
        <f>P589*0.75</f>
        <v>5131.344095821838</v>
      </c>
      <c r="R589" s="185">
        <f>P589*0.25</f>
        <v>1710.4480319406125</v>
      </c>
      <c r="S589" s="185">
        <f>(P589/30)</f>
        <v>228.05973759208166</v>
      </c>
      <c r="T589" s="260">
        <f>S589*1.1479</f>
        <v>261.78977278195055</v>
      </c>
      <c r="U589" s="185">
        <f>O589*0.75</f>
        <v>2565.672047910919</v>
      </c>
      <c r="V589" s="260">
        <f>O589*0.25</f>
        <v>855.22401597030625</v>
      </c>
      <c r="W589" s="261">
        <v>0</v>
      </c>
      <c r="X589" s="262">
        <f>P589*W589</f>
        <v>0</v>
      </c>
      <c r="Y589" s="185"/>
      <c r="Z589" s="185">
        <v>25.27</v>
      </c>
      <c r="AA589" s="185">
        <f>(S589*45)/12</f>
        <v>855.22401597030614</v>
      </c>
      <c r="AB589" s="185">
        <f>(S589*10)*(0.45*2)/12</f>
        <v>171.04480319406125</v>
      </c>
      <c r="AC589" s="185">
        <v>1420.53</v>
      </c>
      <c r="AD589" s="185">
        <v>626.21</v>
      </c>
      <c r="AE589" s="185">
        <v>405.84</v>
      </c>
      <c r="AF589" s="185">
        <v>0</v>
      </c>
      <c r="AG589" s="185">
        <f>(P589+AA589+AB589)*0.03</f>
        <v>236.0418284078045</v>
      </c>
      <c r="AH589" s="263"/>
      <c r="AI589" s="263"/>
      <c r="AJ589" s="252">
        <v>160</v>
      </c>
      <c r="AK589" s="202" t="s">
        <v>66</v>
      </c>
      <c r="AL589" s="252">
        <v>13391</v>
      </c>
      <c r="AM589" s="202" t="s">
        <v>797</v>
      </c>
      <c r="AN589" s="254" t="s">
        <v>798</v>
      </c>
      <c r="AO589" s="264">
        <f t="shared" si="746"/>
        <v>51313.44095821838</v>
      </c>
      <c r="AP589" s="265">
        <f t="shared" si="747"/>
        <v>17104.480319406124</v>
      </c>
      <c r="AQ589" s="265">
        <f t="shared" si="748"/>
        <v>0</v>
      </c>
      <c r="AR589" s="265">
        <f t="shared" si="749"/>
        <v>0</v>
      </c>
      <c r="AS589" s="265">
        <f t="shared" si="750"/>
        <v>252.7</v>
      </c>
      <c r="AT589" s="265">
        <f t="shared" si="751"/>
        <v>8552.2401597030621</v>
      </c>
      <c r="AU589" s="265">
        <f t="shared" si="752"/>
        <v>1710.4480319406125</v>
      </c>
      <c r="AV589" s="265">
        <f t="shared" si="753"/>
        <v>14205.3</v>
      </c>
      <c r="AW589" s="265">
        <f t="shared" si="754"/>
        <v>6262.1</v>
      </c>
      <c r="AX589" s="265">
        <f t="shared" si="755"/>
        <v>4058.3999999999996</v>
      </c>
      <c r="AY589" s="265">
        <f t="shared" si="756"/>
        <v>0</v>
      </c>
      <c r="AZ589" s="265">
        <f t="shared" si="757"/>
        <v>2360.418284078045</v>
      </c>
      <c r="BB589" s="263"/>
      <c r="BC589" s="263"/>
      <c r="BD589" s="263"/>
      <c r="BE589" s="263"/>
    </row>
    <row r="590" spans="2:57" s="364" customFormat="1" ht="21" customHeight="1" x14ac:dyDescent="0.2">
      <c r="B590" s="365">
        <v>161</v>
      </c>
      <c r="C590" s="372" t="s">
        <v>66</v>
      </c>
      <c r="D590" s="365">
        <v>16452</v>
      </c>
      <c r="E590" s="371" t="s">
        <v>799</v>
      </c>
      <c r="F590" s="421" t="s">
        <v>800</v>
      </c>
      <c r="G590" s="363">
        <v>42629</v>
      </c>
      <c r="H590" s="56" t="str">
        <f xml:space="preserve"> CONCATENATE(DATEDIF(G590,H$5,"Y")," AÑOS")</f>
        <v>8 AÑOS</v>
      </c>
      <c r="I590" s="57">
        <v>3183.7113441048964</v>
      </c>
      <c r="J590" s="58"/>
      <c r="K590" s="58"/>
      <c r="L590" s="59"/>
      <c r="M590" s="60">
        <v>7.5000000000000002E-4</v>
      </c>
      <c r="N590" s="61">
        <f>I590*0.075</f>
        <v>238.77835080786721</v>
      </c>
      <c r="O590" s="58">
        <f>I590+N590</f>
        <v>3422.4896949127638</v>
      </c>
      <c r="P590" s="61">
        <f>O590*2</f>
        <v>6844.9793898255275</v>
      </c>
      <c r="Q590" s="61">
        <f>P590*0.75</f>
        <v>5133.7345423691459</v>
      </c>
      <c r="R590" s="61">
        <f>P590*0.25</f>
        <v>1711.2448474563819</v>
      </c>
      <c r="S590" s="61">
        <f>(P590/30)</f>
        <v>228.16597966085092</v>
      </c>
      <c r="T590" s="58">
        <f>S590*1.1479</f>
        <v>261.91172805269076</v>
      </c>
      <c r="U590" s="61">
        <f>O590*0.75</f>
        <v>2566.8672711845729</v>
      </c>
      <c r="V590" s="58">
        <f>O590*0.25</f>
        <v>855.62242372819094</v>
      </c>
      <c r="W590" s="101">
        <v>2.5000000000000001E-2</v>
      </c>
      <c r="X590" s="63">
        <f>P590*W590</f>
        <v>171.1244847456382</v>
      </c>
      <c r="Y590" s="61">
        <v>0</v>
      </c>
      <c r="Z590" s="61">
        <v>25.27</v>
      </c>
      <c r="AA590" s="61">
        <f>(S590*45)/12</f>
        <v>855.62242372819094</v>
      </c>
      <c r="AB590" s="61">
        <f>(S590*10)*(0.45*2)/12</f>
        <v>171.12448474563817</v>
      </c>
      <c r="AC590" s="61">
        <v>1420.53</v>
      </c>
      <c r="AD590" s="61">
        <v>626.21</v>
      </c>
      <c r="AE590" s="61">
        <v>405.84</v>
      </c>
      <c r="AF590" s="61">
        <v>0</v>
      </c>
      <c r="AG590" s="61">
        <f>(P590+AA590+AB590)*0.03</f>
        <v>236.15178894898071</v>
      </c>
      <c r="AH590" s="64"/>
      <c r="AI590" s="64"/>
      <c r="AJ590" s="365">
        <v>161</v>
      </c>
      <c r="AK590" s="372" t="s">
        <v>66</v>
      </c>
      <c r="AL590" s="365">
        <v>16452</v>
      </c>
      <c r="AM590" s="371" t="s">
        <v>799</v>
      </c>
      <c r="AN590" s="421" t="s">
        <v>800</v>
      </c>
      <c r="AO590" s="401">
        <f t="shared" si="746"/>
        <v>51337.345423691455</v>
      </c>
      <c r="AP590" s="368">
        <f t="shared" si="747"/>
        <v>17112.448474563818</v>
      </c>
      <c r="AQ590" s="368">
        <f t="shared" si="748"/>
        <v>1711.2448474563821</v>
      </c>
      <c r="AR590" s="368">
        <f t="shared" si="749"/>
        <v>0</v>
      </c>
      <c r="AS590" s="368">
        <f t="shared" si="750"/>
        <v>252.7</v>
      </c>
      <c r="AT590" s="368">
        <f t="shared" si="751"/>
        <v>8556.2242372819092</v>
      </c>
      <c r="AU590" s="368">
        <f t="shared" si="752"/>
        <v>1711.2448474563816</v>
      </c>
      <c r="AV590" s="368">
        <f t="shared" si="753"/>
        <v>14205.3</v>
      </c>
      <c r="AW590" s="368">
        <f t="shared" si="754"/>
        <v>6262.1</v>
      </c>
      <c r="AX590" s="368">
        <f t="shared" si="755"/>
        <v>4058.3999999999996</v>
      </c>
      <c r="AY590" s="368">
        <f t="shared" si="756"/>
        <v>0</v>
      </c>
      <c r="AZ590" s="368">
        <f t="shared" si="757"/>
        <v>2361.5178894898072</v>
      </c>
      <c r="BB590" s="64"/>
      <c r="BC590" s="66"/>
      <c r="BD590" s="66"/>
      <c r="BE590" s="66"/>
    </row>
    <row r="591" spans="2:57" s="364" customFormat="1" ht="21" customHeight="1" x14ac:dyDescent="0.2">
      <c r="B591" s="365">
        <v>162</v>
      </c>
      <c r="C591" s="372" t="s">
        <v>66</v>
      </c>
      <c r="D591" s="365">
        <v>16626</v>
      </c>
      <c r="E591" s="372" t="s">
        <v>801</v>
      </c>
      <c r="F591" s="421" t="s">
        <v>800</v>
      </c>
      <c r="G591" s="363">
        <v>45017</v>
      </c>
      <c r="H591" s="56" t="str">
        <f t="shared" si="707"/>
        <v>1 AÑOS</v>
      </c>
      <c r="I591" s="57">
        <v>3200.1597485137295</v>
      </c>
      <c r="J591" s="58">
        <v>3422.49</v>
      </c>
      <c r="K591" s="108">
        <f t="shared" ref="K591:K597" si="759">J591-I591</f>
        <v>222.3302514862703</v>
      </c>
      <c r="L591" s="173">
        <f t="shared" ref="L591:L597" si="760">K591*100/I591</f>
        <v>6.9474735312675726</v>
      </c>
      <c r="M591" s="60">
        <v>6.9499999999999998E-4</v>
      </c>
      <c r="N591" s="61">
        <f>I591*0.069474</f>
        <v>222.32789836824281</v>
      </c>
      <c r="O591" s="58">
        <f t="shared" si="708"/>
        <v>3422.4876468819721</v>
      </c>
      <c r="P591" s="61">
        <f t="shared" si="709"/>
        <v>6844.9752937639441</v>
      </c>
      <c r="Q591" s="61">
        <f t="shared" si="710"/>
        <v>5133.7314703229586</v>
      </c>
      <c r="R591" s="61">
        <f t="shared" si="711"/>
        <v>1711.243823440986</v>
      </c>
      <c r="S591" s="61">
        <f t="shared" si="712"/>
        <v>228.16584312546482</v>
      </c>
      <c r="T591" s="58">
        <f t="shared" si="713"/>
        <v>261.91157132372103</v>
      </c>
      <c r="U591" s="61">
        <f t="shared" si="714"/>
        <v>2566.8657351614793</v>
      </c>
      <c r="V591" s="58">
        <f t="shared" si="715"/>
        <v>855.62191172049302</v>
      </c>
      <c r="W591" s="101">
        <v>0</v>
      </c>
      <c r="X591" s="63">
        <f t="shared" si="716"/>
        <v>0</v>
      </c>
      <c r="Y591" s="61">
        <v>0</v>
      </c>
      <c r="Z591" s="61">
        <v>25.27</v>
      </c>
      <c r="AA591" s="61">
        <f t="shared" si="717"/>
        <v>855.62191172049313</v>
      </c>
      <c r="AB591" s="61">
        <f t="shared" si="718"/>
        <v>171.12438234409865</v>
      </c>
      <c r="AC591" s="61">
        <v>1420.53</v>
      </c>
      <c r="AD591" s="61">
        <v>626.21</v>
      </c>
      <c r="AE591" s="61">
        <v>405.84</v>
      </c>
      <c r="AF591" s="61">
        <v>0</v>
      </c>
      <c r="AG591" s="61">
        <f t="shared" si="719"/>
        <v>236.15164763485603</v>
      </c>
      <c r="AH591" s="64"/>
      <c r="AI591" s="64"/>
      <c r="AJ591" s="365">
        <v>162</v>
      </c>
      <c r="AK591" s="372" t="s">
        <v>66</v>
      </c>
      <c r="AL591" s="365">
        <v>16626</v>
      </c>
      <c r="AM591" s="372" t="s">
        <v>801</v>
      </c>
      <c r="AN591" s="421" t="s">
        <v>800</v>
      </c>
      <c r="AO591" s="401">
        <f t="shared" si="746"/>
        <v>51337.314703229582</v>
      </c>
      <c r="AP591" s="368">
        <f t="shared" si="747"/>
        <v>17112.438234409859</v>
      </c>
      <c r="AQ591" s="368">
        <f t="shared" si="748"/>
        <v>0</v>
      </c>
      <c r="AR591" s="368">
        <f t="shared" si="749"/>
        <v>0</v>
      </c>
      <c r="AS591" s="368">
        <f t="shared" si="750"/>
        <v>252.7</v>
      </c>
      <c r="AT591" s="368">
        <f t="shared" si="751"/>
        <v>8556.2191172049315</v>
      </c>
      <c r="AU591" s="368">
        <f t="shared" si="752"/>
        <v>1711.2438234409865</v>
      </c>
      <c r="AV591" s="368">
        <f t="shared" si="753"/>
        <v>14205.3</v>
      </c>
      <c r="AW591" s="368">
        <f t="shared" si="754"/>
        <v>6262.1</v>
      </c>
      <c r="AX591" s="368">
        <f t="shared" si="755"/>
        <v>4058.3999999999996</v>
      </c>
      <c r="AY591" s="368">
        <f t="shared" si="756"/>
        <v>0</v>
      </c>
      <c r="AZ591" s="368">
        <f t="shared" si="757"/>
        <v>2361.5164763485604</v>
      </c>
      <c r="BB591" s="64"/>
      <c r="BC591" s="66"/>
      <c r="BD591" s="66"/>
      <c r="BE591" s="66"/>
    </row>
    <row r="592" spans="2:57" s="364" customFormat="1" ht="21" customHeight="1" x14ac:dyDescent="0.2">
      <c r="B592" s="365">
        <v>163</v>
      </c>
      <c r="C592" s="372" t="s">
        <v>66</v>
      </c>
      <c r="D592" s="365">
        <v>16236</v>
      </c>
      <c r="E592" s="372" t="s">
        <v>802</v>
      </c>
      <c r="F592" s="421" t="s">
        <v>800</v>
      </c>
      <c r="G592" s="363">
        <v>39249</v>
      </c>
      <c r="H592" s="56" t="str">
        <f t="shared" si="707"/>
        <v>17 AÑOS</v>
      </c>
      <c r="I592" s="57">
        <v>3200.1597485137295</v>
      </c>
      <c r="J592" s="58">
        <v>3422.49</v>
      </c>
      <c r="K592" s="108">
        <f t="shared" si="759"/>
        <v>222.3302514862703</v>
      </c>
      <c r="L592" s="173">
        <f t="shared" si="760"/>
        <v>6.9474735312675726</v>
      </c>
      <c r="M592" s="60">
        <v>6.7000000000000002E-4</v>
      </c>
      <c r="N592" s="61">
        <f>I592*0.069474</f>
        <v>222.32789836824281</v>
      </c>
      <c r="O592" s="58">
        <f t="shared" si="708"/>
        <v>3422.4876468819721</v>
      </c>
      <c r="P592" s="61">
        <f t="shared" si="709"/>
        <v>6844.9752937639441</v>
      </c>
      <c r="Q592" s="61">
        <f t="shared" si="710"/>
        <v>5133.7314703229586</v>
      </c>
      <c r="R592" s="61">
        <f t="shared" si="711"/>
        <v>1711.243823440986</v>
      </c>
      <c r="S592" s="61">
        <f t="shared" si="712"/>
        <v>228.16584312546482</v>
      </c>
      <c r="T592" s="58">
        <f t="shared" si="713"/>
        <v>261.91157132372103</v>
      </c>
      <c r="U592" s="61">
        <f t="shared" si="714"/>
        <v>2566.8657351614793</v>
      </c>
      <c r="V592" s="58">
        <f t="shared" si="715"/>
        <v>855.62191172049302</v>
      </c>
      <c r="W592" s="101">
        <v>7.4999999999999997E-2</v>
      </c>
      <c r="X592" s="63">
        <f t="shared" si="716"/>
        <v>513.37314703229583</v>
      </c>
      <c r="Y592" s="61">
        <v>0</v>
      </c>
      <c r="Z592" s="61">
        <v>25.27</v>
      </c>
      <c r="AA592" s="61">
        <f t="shared" si="717"/>
        <v>855.62191172049313</v>
      </c>
      <c r="AB592" s="61">
        <f t="shared" si="718"/>
        <v>171.12438234409865</v>
      </c>
      <c r="AC592" s="61">
        <v>1420.53</v>
      </c>
      <c r="AD592" s="61">
        <v>626.21</v>
      </c>
      <c r="AE592" s="61">
        <v>405.84</v>
      </c>
      <c r="AF592" s="61">
        <v>0</v>
      </c>
      <c r="AG592" s="61">
        <f t="shared" si="719"/>
        <v>236.15164763485603</v>
      </c>
      <c r="AH592" s="64"/>
      <c r="AI592" s="64"/>
      <c r="AJ592" s="365">
        <v>163</v>
      </c>
      <c r="AK592" s="372" t="s">
        <v>66</v>
      </c>
      <c r="AL592" s="365">
        <v>16236</v>
      </c>
      <c r="AM592" s="372" t="s">
        <v>802</v>
      </c>
      <c r="AN592" s="421" t="s">
        <v>800</v>
      </c>
      <c r="AO592" s="401">
        <f t="shared" si="746"/>
        <v>51337.314703229582</v>
      </c>
      <c r="AP592" s="368">
        <f t="shared" si="747"/>
        <v>17112.438234409859</v>
      </c>
      <c r="AQ592" s="368">
        <f t="shared" si="748"/>
        <v>5133.7314703229586</v>
      </c>
      <c r="AR592" s="368">
        <f t="shared" si="749"/>
        <v>0</v>
      </c>
      <c r="AS592" s="368">
        <f t="shared" si="750"/>
        <v>252.7</v>
      </c>
      <c r="AT592" s="368">
        <f t="shared" si="751"/>
        <v>8556.2191172049315</v>
      </c>
      <c r="AU592" s="368">
        <f t="shared" si="752"/>
        <v>1711.2438234409865</v>
      </c>
      <c r="AV592" s="368">
        <f t="shared" si="753"/>
        <v>14205.3</v>
      </c>
      <c r="AW592" s="368">
        <f t="shared" si="754"/>
        <v>6262.1</v>
      </c>
      <c r="AX592" s="368">
        <f t="shared" si="755"/>
        <v>4058.3999999999996</v>
      </c>
      <c r="AY592" s="368">
        <f t="shared" si="756"/>
        <v>0</v>
      </c>
      <c r="AZ592" s="368">
        <f t="shared" si="757"/>
        <v>2361.5164763485604</v>
      </c>
      <c r="BB592" s="64"/>
      <c r="BC592" s="66"/>
      <c r="BD592" s="66"/>
      <c r="BE592" s="66"/>
    </row>
    <row r="593" spans="1:177" s="364" customFormat="1" ht="21" customHeight="1" x14ac:dyDescent="0.2">
      <c r="B593" s="365">
        <v>164</v>
      </c>
      <c r="C593" s="372" t="s">
        <v>66</v>
      </c>
      <c r="D593" s="365">
        <v>13259</v>
      </c>
      <c r="E593" s="371" t="s">
        <v>803</v>
      </c>
      <c r="F593" s="421" t="s">
        <v>800</v>
      </c>
      <c r="G593" s="363">
        <v>40931</v>
      </c>
      <c r="H593" s="56" t="str">
        <f t="shared" si="707"/>
        <v>12 AÑOS</v>
      </c>
      <c r="I593" s="57">
        <v>3170.3326204132072</v>
      </c>
      <c r="J593" s="58">
        <v>3422.49</v>
      </c>
      <c r="K593" s="108">
        <f t="shared" si="759"/>
        <v>252.15737958679256</v>
      </c>
      <c r="L593" s="173">
        <f t="shared" si="760"/>
        <v>7.9536569116816356</v>
      </c>
      <c r="M593" s="60">
        <v>7.7999999999999999E-4</v>
      </c>
      <c r="N593" s="61">
        <f>I593*0.079535</f>
        <v>252.15240496456443</v>
      </c>
      <c r="O593" s="58">
        <f t="shared" si="708"/>
        <v>3422.4850253777718</v>
      </c>
      <c r="P593" s="61">
        <f t="shared" si="709"/>
        <v>6844.9700507555435</v>
      </c>
      <c r="Q593" s="61">
        <f t="shared" si="710"/>
        <v>5133.7275380666579</v>
      </c>
      <c r="R593" s="61">
        <f t="shared" si="711"/>
        <v>1711.2425126888859</v>
      </c>
      <c r="S593" s="61">
        <f t="shared" si="712"/>
        <v>228.1656683585181</v>
      </c>
      <c r="T593" s="58">
        <f t="shared" si="713"/>
        <v>261.91137070874294</v>
      </c>
      <c r="U593" s="61">
        <f t="shared" si="714"/>
        <v>2566.8637690333289</v>
      </c>
      <c r="V593" s="58">
        <f t="shared" si="715"/>
        <v>855.62125634444294</v>
      </c>
      <c r="W593" s="101">
        <v>0.05</v>
      </c>
      <c r="X593" s="63">
        <f t="shared" si="716"/>
        <v>342.2485025377772</v>
      </c>
      <c r="Y593" s="61">
        <v>0</v>
      </c>
      <c r="Z593" s="61">
        <v>25.27</v>
      </c>
      <c r="AA593" s="61">
        <f t="shared" si="717"/>
        <v>855.62125634444283</v>
      </c>
      <c r="AB593" s="61">
        <f t="shared" si="718"/>
        <v>171.12425126888857</v>
      </c>
      <c r="AC593" s="61">
        <v>1420.53</v>
      </c>
      <c r="AD593" s="61">
        <v>626.21</v>
      </c>
      <c r="AE593" s="61">
        <v>405.84</v>
      </c>
      <c r="AF593" s="61">
        <v>0</v>
      </c>
      <c r="AG593" s="61">
        <f t="shared" si="719"/>
        <v>236.15146675106627</v>
      </c>
      <c r="AH593" s="64"/>
      <c r="AI593" s="64"/>
      <c r="AJ593" s="365">
        <v>164</v>
      </c>
      <c r="AK593" s="372" t="s">
        <v>66</v>
      </c>
      <c r="AL593" s="365">
        <v>13259</v>
      </c>
      <c r="AM593" s="371" t="s">
        <v>803</v>
      </c>
      <c r="AN593" s="421" t="s">
        <v>800</v>
      </c>
      <c r="AO593" s="432">
        <f t="shared" si="746"/>
        <v>51337.275380666579</v>
      </c>
      <c r="AP593" s="433">
        <f t="shared" si="747"/>
        <v>17112.425126888858</v>
      </c>
      <c r="AQ593" s="433">
        <f t="shared" si="748"/>
        <v>3422.4850253777722</v>
      </c>
      <c r="AR593" s="433">
        <f t="shared" si="749"/>
        <v>0</v>
      </c>
      <c r="AS593" s="433">
        <f t="shared" si="750"/>
        <v>252.7</v>
      </c>
      <c r="AT593" s="433">
        <f t="shared" si="751"/>
        <v>8556.2125634444274</v>
      </c>
      <c r="AU593" s="433">
        <f t="shared" si="752"/>
        <v>1711.2425126888857</v>
      </c>
      <c r="AV593" s="433">
        <f t="shared" si="753"/>
        <v>14205.3</v>
      </c>
      <c r="AW593" s="433">
        <f t="shared" si="754"/>
        <v>6262.1</v>
      </c>
      <c r="AX593" s="433">
        <f t="shared" si="755"/>
        <v>4058.3999999999996</v>
      </c>
      <c r="AY593" s="433">
        <f t="shared" si="756"/>
        <v>0</v>
      </c>
      <c r="AZ593" s="433">
        <f t="shared" si="757"/>
        <v>2361.5146675106625</v>
      </c>
      <c r="BB593" s="64"/>
      <c r="BC593" s="66"/>
      <c r="BD593" s="66"/>
      <c r="BE593" s="66"/>
    </row>
    <row r="594" spans="1:177" s="364" customFormat="1" ht="21" customHeight="1" x14ac:dyDescent="0.2">
      <c r="B594" s="365">
        <v>165</v>
      </c>
      <c r="C594" s="372" t="s">
        <v>66</v>
      </c>
      <c r="D594" s="365">
        <v>16401</v>
      </c>
      <c r="E594" s="371" t="s">
        <v>804</v>
      </c>
      <c r="F594" s="421" t="s">
        <v>800</v>
      </c>
      <c r="G594" s="363">
        <v>41907</v>
      </c>
      <c r="H594" s="56" t="str">
        <f t="shared" si="707"/>
        <v>10 AÑOS</v>
      </c>
      <c r="I594" s="57">
        <v>3170.33</v>
      </c>
      <c r="J594" s="58">
        <v>3422.49</v>
      </c>
      <c r="K594" s="108">
        <f t="shared" si="759"/>
        <v>252.15999999999985</v>
      </c>
      <c r="L594" s="173">
        <f t="shared" si="760"/>
        <v>7.9537461399917317</v>
      </c>
      <c r="M594" s="60">
        <v>7.7999999999999999E-4</v>
      </c>
      <c r="N594" s="61">
        <f>I594*0.079536</f>
        <v>252.15536687999997</v>
      </c>
      <c r="O594" s="58">
        <f t="shared" si="708"/>
        <v>3422.4853668799997</v>
      </c>
      <c r="P594" s="61">
        <f t="shared" si="709"/>
        <v>6844.9707337599993</v>
      </c>
      <c r="Q594" s="61">
        <f t="shared" si="710"/>
        <v>5133.72805032</v>
      </c>
      <c r="R594" s="61">
        <f t="shared" si="711"/>
        <v>1711.2426834399998</v>
      </c>
      <c r="S594" s="61">
        <f t="shared" si="712"/>
        <v>228.16569112533332</v>
      </c>
      <c r="T594" s="58">
        <f t="shared" si="713"/>
        <v>261.9113968427701</v>
      </c>
      <c r="U594" s="61">
        <f t="shared" si="714"/>
        <v>2566.86402516</v>
      </c>
      <c r="V594" s="58">
        <f t="shared" si="715"/>
        <v>855.62134171999992</v>
      </c>
      <c r="W594" s="101">
        <v>0.05</v>
      </c>
      <c r="X594" s="63">
        <f t="shared" si="716"/>
        <v>342.248536688</v>
      </c>
      <c r="Y594" s="61">
        <v>0</v>
      </c>
      <c r="Z594" s="61">
        <v>25.27</v>
      </c>
      <c r="AA594" s="61">
        <f t="shared" si="717"/>
        <v>855.62134172000003</v>
      </c>
      <c r="AB594" s="61">
        <f t="shared" si="718"/>
        <v>171.12426834400003</v>
      </c>
      <c r="AC594" s="61">
        <v>1420.53</v>
      </c>
      <c r="AD594" s="61">
        <v>626.21</v>
      </c>
      <c r="AE594" s="61">
        <v>405.84</v>
      </c>
      <c r="AF594" s="61">
        <v>0</v>
      </c>
      <c r="AG594" s="61">
        <f t="shared" si="719"/>
        <v>236.15149031471995</v>
      </c>
      <c r="AH594" s="64"/>
      <c r="AI594" s="64"/>
      <c r="AJ594" s="365">
        <v>165</v>
      </c>
      <c r="AK594" s="372" t="s">
        <v>66</v>
      </c>
      <c r="AL594" s="365">
        <v>16401</v>
      </c>
      <c r="AM594" s="371" t="s">
        <v>804</v>
      </c>
      <c r="AN594" s="421" t="s">
        <v>800</v>
      </c>
      <c r="AO594" s="419">
        <f t="shared" si="746"/>
        <v>51337.280503200003</v>
      </c>
      <c r="AP594" s="395">
        <f t="shared" si="747"/>
        <v>17112.426834399997</v>
      </c>
      <c r="AQ594" s="395">
        <f t="shared" si="748"/>
        <v>3422.4853668800001</v>
      </c>
      <c r="AR594" s="395">
        <f t="shared" si="749"/>
        <v>0</v>
      </c>
      <c r="AS594" s="395">
        <f t="shared" si="750"/>
        <v>252.7</v>
      </c>
      <c r="AT594" s="395">
        <f t="shared" si="751"/>
        <v>8556.2134172000005</v>
      </c>
      <c r="AU594" s="395">
        <f t="shared" si="752"/>
        <v>1711.2426834400003</v>
      </c>
      <c r="AV594" s="395">
        <f t="shared" si="753"/>
        <v>14205.3</v>
      </c>
      <c r="AW594" s="395">
        <f t="shared" si="754"/>
        <v>6262.1</v>
      </c>
      <c r="AX594" s="395">
        <f t="shared" si="755"/>
        <v>4058.3999999999996</v>
      </c>
      <c r="AY594" s="395">
        <f t="shared" si="756"/>
        <v>0</v>
      </c>
      <c r="AZ594" s="395">
        <f t="shared" si="757"/>
        <v>2361.5149031471997</v>
      </c>
      <c r="BB594" s="64"/>
      <c r="BC594" s="66"/>
      <c r="BD594" s="66"/>
      <c r="BE594" s="66"/>
    </row>
    <row r="595" spans="1:177" s="364" customFormat="1" ht="21" customHeight="1" x14ac:dyDescent="0.2">
      <c r="B595" s="365">
        <v>166</v>
      </c>
      <c r="C595" s="372" t="s">
        <v>66</v>
      </c>
      <c r="D595" s="365">
        <v>16558</v>
      </c>
      <c r="E595" s="372" t="s">
        <v>805</v>
      </c>
      <c r="F595" s="421" t="s">
        <v>800</v>
      </c>
      <c r="G595" s="363">
        <v>43862</v>
      </c>
      <c r="H595" s="56" t="str">
        <f t="shared" si="707"/>
        <v>4 AÑOS</v>
      </c>
      <c r="I595" s="57">
        <v>2913.8808039874148</v>
      </c>
      <c r="J595" s="58">
        <v>3422.49</v>
      </c>
      <c r="K595" s="108">
        <f t="shared" si="759"/>
        <v>508.60919601258502</v>
      </c>
      <c r="L595" s="173">
        <f t="shared" si="760"/>
        <v>17.454701486642612</v>
      </c>
      <c r="M595" s="60">
        <v>1.74E-3</v>
      </c>
      <c r="N595" s="61">
        <f>I595*0.174546</f>
        <v>508.6062388127873</v>
      </c>
      <c r="O595" s="58">
        <f t="shared" si="708"/>
        <v>3422.4870428002023</v>
      </c>
      <c r="P595" s="61">
        <f t="shared" si="709"/>
        <v>6844.9740856004046</v>
      </c>
      <c r="Q595" s="61">
        <f t="shared" si="710"/>
        <v>5133.730564200303</v>
      </c>
      <c r="R595" s="61">
        <f t="shared" si="711"/>
        <v>1711.2435214001011</v>
      </c>
      <c r="S595" s="61">
        <f t="shared" si="712"/>
        <v>228.16580285334683</v>
      </c>
      <c r="T595" s="58">
        <f t="shared" si="713"/>
        <v>261.91152509535681</v>
      </c>
      <c r="U595" s="61">
        <f t="shared" si="714"/>
        <v>2566.8652821001515</v>
      </c>
      <c r="V595" s="58">
        <f t="shared" si="715"/>
        <v>855.62176070005057</v>
      </c>
      <c r="W595" s="101">
        <v>0</v>
      </c>
      <c r="X595" s="63">
        <f t="shared" si="716"/>
        <v>0</v>
      </c>
      <c r="Y595" s="61">
        <v>0</v>
      </c>
      <c r="Z595" s="61">
        <v>25.27</v>
      </c>
      <c r="AA595" s="61">
        <f t="shared" si="717"/>
        <v>855.62176070005069</v>
      </c>
      <c r="AB595" s="61">
        <f t="shared" si="718"/>
        <v>171.12435214001016</v>
      </c>
      <c r="AC595" s="61">
        <v>1420.53</v>
      </c>
      <c r="AD595" s="61">
        <v>626.21</v>
      </c>
      <c r="AE595" s="61">
        <v>405.84</v>
      </c>
      <c r="AF595" s="61">
        <v>0</v>
      </c>
      <c r="AG595" s="61">
        <f t="shared" si="719"/>
        <v>236.15160595321396</v>
      </c>
      <c r="AH595" s="64"/>
      <c r="AI595" s="64"/>
      <c r="AJ595" s="365">
        <v>166</v>
      </c>
      <c r="AK595" s="372" t="s">
        <v>66</v>
      </c>
      <c r="AL595" s="365">
        <v>16558</v>
      </c>
      <c r="AM595" s="372" t="s">
        <v>805</v>
      </c>
      <c r="AN595" s="421" t="s">
        <v>800</v>
      </c>
      <c r="AO595" s="401">
        <f t="shared" si="746"/>
        <v>51337.305642003033</v>
      </c>
      <c r="AP595" s="368">
        <f t="shared" si="747"/>
        <v>17112.435214001012</v>
      </c>
      <c r="AQ595" s="368">
        <f t="shared" si="748"/>
        <v>0</v>
      </c>
      <c r="AR595" s="368">
        <f t="shared" si="749"/>
        <v>0</v>
      </c>
      <c r="AS595" s="368">
        <f t="shared" si="750"/>
        <v>252.7</v>
      </c>
      <c r="AT595" s="368">
        <f t="shared" si="751"/>
        <v>8556.2176070005062</v>
      </c>
      <c r="AU595" s="368">
        <f t="shared" si="752"/>
        <v>1711.2435214001016</v>
      </c>
      <c r="AV595" s="368">
        <f t="shared" si="753"/>
        <v>14205.3</v>
      </c>
      <c r="AW595" s="368">
        <f t="shared" si="754"/>
        <v>6262.1</v>
      </c>
      <c r="AX595" s="368">
        <f t="shared" si="755"/>
        <v>4058.3999999999996</v>
      </c>
      <c r="AY595" s="368">
        <f t="shared" si="756"/>
        <v>0</v>
      </c>
      <c r="AZ595" s="368">
        <f t="shared" si="757"/>
        <v>2361.5160595321395</v>
      </c>
      <c r="BB595" s="64"/>
      <c r="BC595" s="66"/>
      <c r="BD595" s="66"/>
      <c r="BE595" s="66"/>
    </row>
    <row r="596" spans="1:177" s="364" customFormat="1" ht="21" customHeight="1" x14ac:dyDescent="0.2">
      <c r="B596" s="365">
        <v>167</v>
      </c>
      <c r="C596" s="416" t="s">
        <v>66</v>
      </c>
      <c r="D596" s="434">
        <v>16195</v>
      </c>
      <c r="E596" s="416" t="s">
        <v>806</v>
      </c>
      <c r="F596" s="435" t="s">
        <v>800</v>
      </c>
      <c r="G596" s="99">
        <v>38373</v>
      </c>
      <c r="H596" s="100" t="str">
        <f t="shared" si="707"/>
        <v>19 AÑOS</v>
      </c>
      <c r="I596" s="213">
        <v>2913.8808039874148</v>
      </c>
      <c r="J596" s="231">
        <v>3422.49</v>
      </c>
      <c r="K596" s="436">
        <f t="shared" si="759"/>
        <v>508.60919601258502</v>
      </c>
      <c r="L596" s="437">
        <f t="shared" si="760"/>
        <v>17.454701486642612</v>
      </c>
      <c r="M596" s="290">
        <v>1.74E-3</v>
      </c>
      <c r="N596" s="403">
        <f>I596*0.174547</f>
        <v>508.60915269359128</v>
      </c>
      <c r="O596" s="231">
        <f t="shared" si="708"/>
        <v>3422.4899566810059</v>
      </c>
      <c r="P596" s="403">
        <f t="shared" si="709"/>
        <v>6844.9799133620118</v>
      </c>
      <c r="Q596" s="403">
        <f t="shared" si="710"/>
        <v>5133.734935021509</v>
      </c>
      <c r="R596" s="403">
        <f t="shared" si="711"/>
        <v>1711.2449783405029</v>
      </c>
      <c r="S596" s="403">
        <f t="shared" si="712"/>
        <v>228.16599711206706</v>
      </c>
      <c r="T596" s="231">
        <f t="shared" si="713"/>
        <v>261.91174808494173</v>
      </c>
      <c r="U596" s="403">
        <f t="shared" si="714"/>
        <v>2566.8674675107545</v>
      </c>
      <c r="V596" s="231">
        <f t="shared" si="715"/>
        <v>855.62248917025147</v>
      </c>
      <c r="W596" s="238">
        <v>7.4999999999999997E-2</v>
      </c>
      <c r="X596" s="438">
        <f t="shared" si="716"/>
        <v>513.37349350215084</v>
      </c>
      <c r="Y596" s="403">
        <v>0</v>
      </c>
      <c r="Z596" s="403">
        <v>25.27</v>
      </c>
      <c r="AA596" s="403">
        <f t="shared" si="717"/>
        <v>855.62248917025147</v>
      </c>
      <c r="AB596" s="403">
        <f t="shared" si="718"/>
        <v>171.12449783405029</v>
      </c>
      <c r="AC596" s="403">
        <v>1420.53</v>
      </c>
      <c r="AD596" s="403">
        <v>626.21</v>
      </c>
      <c r="AE596" s="403">
        <v>405.84</v>
      </c>
      <c r="AF596" s="403">
        <v>0</v>
      </c>
      <c r="AG596" s="403">
        <f t="shared" si="719"/>
        <v>236.15180701098939</v>
      </c>
      <c r="AH596" s="64"/>
      <c r="AI596" s="64"/>
      <c r="AJ596" s="365">
        <v>167</v>
      </c>
      <c r="AK596" s="416" t="s">
        <v>66</v>
      </c>
      <c r="AL596" s="434">
        <v>16195</v>
      </c>
      <c r="AM596" s="416" t="s">
        <v>806</v>
      </c>
      <c r="AN596" s="435" t="s">
        <v>800</v>
      </c>
      <c r="AO596" s="401">
        <f t="shared" si="746"/>
        <v>51337.349350215089</v>
      </c>
      <c r="AP596" s="368">
        <f t="shared" si="747"/>
        <v>17112.449783405031</v>
      </c>
      <c r="AQ596" s="368">
        <f t="shared" si="748"/>
        <v>5133.7349350215081</v>
      </c>
      <c r="AR596" s="368">
        <f t="shared" si="749"/>
        <v>0</v>
      </c>
      <c r="AS596" s="368">
        <f t="shared" si="750"/>
        <v>252.7</v>
      </c>
      <c r="AT596" s="368">
        <f t="shared" si="751"/>
        <v>8556.2248917025154</v>
      </c>
      <c r="AU596" s="368">
        <f t="shared" si="752"/>
        <v>1711.2449783405029</v>
      </c>
      <c r="AV596" s="368">
        <f t="shared" si="753"/>
        <v>14205.3</v>
      </c>
      <c r="AW596" s="368">
        <f t="shared" si="754"/>
        <v>6262.1</v>
      </c>
      <c r="AX596" s="368">
        <f t="shared" si="755"/>
        <v>4058.3999999999996</v>
      </c>
      <c r="AY596" s="368">
        <f t="shared" si="756"/>
        <v>0</v>
      </c>
      <c r="AZ596" s="368">
        <f t="shared" si="757"/>
        <v>2361.5180701098939</v>
      </c>
      <c r="BB596" s="64"/>
      <c r="BC596" s="66"/>
      <c r="BD596" s="66"/>
      <c r="BE596" s="66"/>
    </row>
    <row r="597" spans="1:177" s="364" customFormat="1" ht="21" customHeight="1" x14ac:dyDescent="0.2">
      <c r="B597" s="365">
        <v>168</v>
      </c>
      <c r="C597" s="372" t="s">
        <v>66</v>
      </c>
      <c r="D597" s="365">
        <v>16227</v>
      </c>
      <c r="E597" s="372" t="s">
        <v>807</v>
      </c>
      <c r="F597" s="378" t="s">
        <v>800</v>
      </c>
      <c r="G597" s="55">
        <v>38914</v>
      </c>
      <c r="H597" s="55" t="str">
        <f t="shared" si="707"/>
        <v>18 AÑOS</v>
      </c>
      <c r="I597" s="57">
        <v>2913.8808039874148</v>
      </c>
      <c r="J597" s="57">
        <v>3422.49</v>
      </c>
      <c r="K597" s="108">
        <f t="shared" si="759"/>
        <v>508.60919601258502</v>
      </c>
      <c r="L597" s="109">
        <f t="shared" si="760"/>
        <v>17.454701486642612</v>
      </c>
      <c r="M597" s="171">
        <v>1.74E-3</v>
      </c>
      <c r="N597" s="81">
        <f>I597*0.174547</f>
        <v>508.60915269359128</v>
      </c>
      <c r="O597" s="57">
        <f t="shared" si="708"/>
        <v>3422.4899566810059</v>
      </c>
      <c r="P597" s="81">
        <f t="shared" si="709"/>
        <v>6844.9799133620118</v>
      </c>
      <c r="Q597" s="81">
        <f t="shared" si="710"/>
        <v>5133.734935021509</v>
      </c>
      <c r="R597" s="81">
        <f t="shared" si="711"/>
        <v>1711.2449783405029</v>
      </c>
      <c r="S597" s="81">
        <f t="shared" si="712"/>
        <v>228.16599711206706</v>
      </c>
      <c r="T597" s="57">
        <f t="shared" si="713"/>
        <v>261.91174808494173</v>
      </c>
      <c r="U597" s="81">
        <f t="shared" si="714"/>
        <v>2566.8674675107545</v>
      </c>
      <c r="V597" s="57">
        <f t="shared" si="715"/>
        <v>855.62248917025147</v>
      </c>
      <c r="W597" s="101">
        <v>7.4999999999999997E-2</v>
      </c>
      <c r="X597" s="158">
        <f t="shared" si="716"/>
        <v>513.37349350215084</v>
      </c>
      <c r="Y597" s="81">
        <v>0</v>
      </c>
      <c r="Z597" s="81">
        <v>25.27</v>
      </c>
      <c r="AA597" s="81">
        <f t="shared" si="717"/>
        <v>855.62248917025147</v>
      </c>
      <c r="AB597" s="81">
        <f t="shared" si="718"/>
        <v>171.12449783405029</v>
      </c>
      <c r="AC597" s="81">
        <v>1420.53</v>
      </c>
      <c r="AD597" s="81">
        <v>626.21</v>
      </c>
      <c r="AE597" s="81">
        <v>405.84</v>
      </c>
      <c r="AF597" s="81">
        <v>0</v>
      </c>
      <c r="AG597" s="81">
        <f t="shared" si="719"/>
        <v>236.15180701098939</v>
      </c>
      <c r="AH597" s="64"/>
      <c r="AI597" s="64"/>
      <c r="AJ597" s="365">
        <v>168</v>
      </c>
      <c r="AK597" s="372" t="s">
        <v>66</v>
      </c>
      <c r="AL597" s="365">
        <v>16227</v>
      </c>
      <c r="AM597" s="372" t="s">
        <v>807</v>
      </c>
      <c r="AN597" s="378" t="s">
        <v>800</v>
      </c>
      <c r="AO597" s="419">
        <f t="shared" si="746"/>
        <v>51337.349350215089</v>
      </c>
      <c r="AP597" s="395">
        <f t="shared" si="747"/>
        <v>17112.449783405031</v>
      </c>
      <c r="AQ597" s="395">
        <f t="shared" si="748"/>
        <v>5133.7349350215081</v>
      </c>
      <c r="AR597" s="395">
        <f t="shared" si="749"/>
        <v>0</v>
      </c>
      <c r="AS597" s="395">
        <f t="shared" si="750"/>
        <v>252.7</v>
      </c>
      <c r="AT597" s="368">
        <f t="shared" si="751"/>
        <v>8556.2248917025154</v>
      </c>
      <c r="AU597" s="368">
        <f t="shared" si="752"/>
        <v>1711.2449783405029</v>
      </c>
      <c r="AV597" s="368">
        <f t="shared" si="753"/>
        <v>14205.3</v>
      </c>
      <c r="AW597" s="368">
        <f t="shared" si="754"/>
        <v>6262.1</v>
      </c>
      <c r="AX597" s="368">
        <f t="shared" si="755"/>
        <v>4058.3999999999996</v>
      </c>
      <c r="AY597" s="368">
        <f t="shared" si="756"/>
        <v>0</v>
      </c>
      <c r="AZ597" s="368">
        <f t="shared" si="757"/>
        <v>2361.5180701098939</v>
      </c>
      <c r="BB597" s="64"/>
      <c r="BC597" s="66"/>
      <c r="BD597" s="66"/>
      <c r="BE597" s="66"/>
    </row>
    <row r="598" spans="1:177" s="364" customFormat="1" ht="21" customHeight="1" x14ac:dyDescent="0.2">
      <c r="B598" s="365">
        <v>169</v>
      </c>
      <c r="C598" s="372" t="s">
        <v>66</v>
      </c>
      <c r="D598" s="365">
        <v>16216</v>
      </c>
      <c r="E598" s="372" t="s">
        <v>808</v>
      </c>
      <c r="F598" s="378" t="s">
        <v>800</v>
      </c>
      <c r="G598" s="55">
        <v>38749</v>
      </c>
      <c r="H598" s="55" t="str">
        <f t="shared" si="707"/>
        <v>18 AÑOS</v>
      </c>
      <c r="I598" s="57">
        <v>2913.8808039874148</v>
      </c>
      <c r="J598" s="57">
        <v>3422.49</v>
      </c>
      <c r="K598" s="108">
        <f>J598-I598</f>
        <v>508.60919601258502</v>
      </c>
      <c r="L598" s="109">
        <f>K598*100/I598</f>
        <v>17.454701486642612</v>
      </c>
      <c r="M598" s="171">
        <v>1.74E-3</v>
      </c>
      <c r="N598" s="81">
        <f>I598*0.174547</f>
        <v>508.60915269359128</v>
      </c>
      <c r="O598" s="57">
        <f t="shared" si="708"/>
        <v>3422.4899566810059</v>
      </c>
      <c r="P598" s="81">
        <f t="shared" si="709"/>
        <v>6844.9799133620118</v>
      </c>
      <c r="Q598" s="81">
        <f t="shared" si="710"/>
        <v>5133.734935021509</v>
      </c>
      <c r="R598" s="81">
        <f t="shared" si="711"/>
        <v>1711.2449783405029</v>
      </c>
      <c r="S598" s="81">
        <f t="shared" si="712"/>
        <v>228.16599711206706</v>
      </c>
      <c r="T598" s="57">
        <f t="shared" si="713"/>
        <v>261.91174808494173</v>
      </c>
      <c r="U598" s="81">
        <f t="shared" si="714"/>
        <v>2566.8674675107545</v>
      </c>
      <c r="V598" s="57">
        <f t="shared" si="715"/>
        <v>855.62248917025147</v>
      </c>
      <c r="W598" s="101">
        <v>7.4999999999999997E-2</v>
      </c>
      <c r="X598" s="158">
        <f t="shared" si="716"/>
        <v>513.37349350215084</v>
      </c>
      <c r="Y598" s="81">
        <v>0</v>
      </c>
      <c r="Z598" s="81">
        <v>25.27</v>
      </c>
      <c r="AA598" s="81">
        <f t="shared" si="717"/>
        <v>855.62248917025147</v>
      </c>
      <c r="AB598" s="81">
        <f t="shared" si="718"/>
        <v>171.12449783405029</v>
      </c>
      <c r="AC598" s="81">
        <v>1420.53</v>
      </c>
      <c r="AD598" s="81">
        <v>626.21</v>
      </c>
      <c r="AE598" s="81">
        <v>405.84</v>
      </c>
      <c r="AF598" s="81">
        <v>0</v>
      </c>
      <c r="AG598" s="81">
        <f t="shared" si="719"/>
        <v>236.15180701098939</v>
      </c>
      <c r="AH598" s="64"/>
      <c r="AI598" s="64"/>
      <c r="AJ598" s="365">
        <v>169</v>
      </c>
      <c r="AK598" s="372" t="s">
        <v>66</v>
      </c>
      <c r="AL598" s="365">
        <v>16216</v>
      </c>
      <c r="AM598" s="372" t="s">
        <v>808</v>
      </c>
      <c r="AN598" s="378" t="s">
        <v>800</v>
      </c>
      <c r="AO598" s="401">
        <f t="shared" si="746"/>
        <v>51337.349350215089</v>
      </c>
      <c r="AP598" s="368">
        <f t="shared" si="747"/>
        <v>17112.449783405031</v>
      </c>
      <c r="AQ598" s="368">
        <f t="shared" si="748"/>
        <v>5133.7349350215081</v>
      </c>
      <c r="AR598" s="368">
        <f t="shared" si="749"/>
        <v>0</v>
      </c>
      <c r="AS598" s="368">
        <f t="shared" si="750"/>
        <v>252.7</v>
      </c>
      <c r="AT598" s="368">
        <f t="shared" si="751"/>
        <v>8556.2248917025154</v>
      </c>
      <c r="AU598" s="368">
        <f t="shared" si="752"/>
        <v>1711.2449783405029</v>
      </c>
      <c r="AV598" s="368">
        <f t="shared" si="753"/>
        <v>14205.3</v>
      </c>
      <c r="AW598" s="368">
        <f t="shared" si="754"/>
        <v>6262.1</v>
      </c>
      <c r="AX598" s="368">
        <f t="shared" si="755"/>
        <v>4058.3999999999996</v>
      </c>
      <c r="AY598" s="368">
        <f t="shared" si="756"/>
        <v>0</v>
      </c>
      <c r="AZ598" s="368">
        <f t="shared" si="757"/>
        <v>2361.5180701098939</v>
      </c>
      <c r="BB598" s="64"/>
      <c r="BC598" s="66"/>
      <c r="BD598" s="66"/>
      <c r="BE598" s="66"/>
    </row>
    <row r="599" spans="1:177" s="364" customFormat="1" ht="21" customHeight="1" x14ac:dyDescent="0.2">
      <c r="B599" s="365">
        <v>170</v>
      </c>
      <c r="C599" s="372" t="s">
        <v>66</v>
      </c>
      <c r="D599" s="365">
        <v>16243</v>
      </c>
      <c r="E599" s="372" t="s">
        <v>809</v>
      </c>
      <c r="F599" s="378" t="s">
        <v>800</v>
      </c>
      <c r="G599" s="55">
        <v>39402</v>
      </c>
      <c r="H599" s="55" t="str">
        <f t="shared" si="707"/>
        <v>17 AÑOS</v>
      </c>
      <c r="I599" s="57">
        <v>2913.8808039874148</v>
      </c>
      <c r="J599" s="57">
        <v>3422.49</v>
      </c>
      <c r="K599" s="108">
        <f>J599-I599</f>
        <v>508.60919601258502</v>
      </c>
      <c r="L599" s="109">
        <f>K599*100/I599</f>
        <v>17.454701486642612</v>
      </c>
      <c r="M599" s="171">
        <v>1.74E-3</v>
      </c>
      <c r="N599" s="81">
        <f>I599*0.174547</f>
        <v>508.60915269359128</v>
      </c>
      <c r="O599" s="57">
        <f t="shared" si="708"/>
        <v>3422.4899566810059</v>
      </c>
      <c r="P599" s="81">
        <f t="shared" si="709"/>
        <v>6844.9799133620118</v>
      </c>
      <c r="Q599" s="81">
        <f t="shared" si="710"/>
        <v>5133.734935021509</v>
      </c>
      <c r="R599" s="81">
        <f t="shared" si="711"/>
        <v>1711.2449783405029</v>
      </c>
      <c r="S599" s="81">
        <f t="shared" si="712"/>
        <v>228.16599711206706</v>
      </c>
      <c r="T599" s="57">
        <f t="shared" si="713"/>
        <v>261.91174808494173</v>
      </c>
      <c r="U599" s="81">
        <f t="shared" si="714"/>
        <v>2566.8674675107545</v>
      </c>
      <c r="V599" s="57">
        <f t="shared" si="715"/>
        <v>855.62248917025147</v>
      </c>
      <c r="W599" s="101">
        <v>7.4999999999999997E-2</v>
      </c>
      <c r="X599" s="158">
        <f t="shared" si="716"/>
        <v>513.37349350215084</v>
      </c>
      <c r="Y599" s="81">
        <v>0</v>
      </c>
      <c r="Z599" s="81">
        <v>25.27</v>
      </c>
      <c r="AA599" s="81">
        <f t="shared" si="717"/>
        <v>855.62248917025147</v>
      </c>
      <c r="AB599" s="81">
        <f t="shared" si="718"/>
        <v>171.12449783405029</v>
      </c>
      <c r="AC599" s="81">
        <v>1420.53</v>
      </c>
      <c r="AD599" s="81">
        <v>626.21</v>
      </c>
      <c r="AE599" s="81">
        <v>405.84</v>
      </c>
      <c r="AF599" s="81">
        <v>0</v>
      </c>
      <c r="AG599" s="81">
        <f t="shared" si="719"/>
        <v>236.15180701098939</v>
      </c>
      <c r="AH599" s="64"/>
      <c r="AI599" s="64"/>
      <c r="AJ599" s="365">
        <v>170</v>
      </c>
      <c r="AK599" s="372" t="s">
        <v>66</v>
      </c>
      <c r="AL599" s="365">
        <v>16243</v>
      </c>
      <c r="AM599" s="372" t="s">
        <v>809</v>
      </c>
      <c r="AN599" s="378" t="s">
        <v>800</v>
      </c>
      <c r="AO599" s="401">
        <f t="shared" si="746"/>
        <v>51337.349350215089</v>
      </c>
      <c r="AP599" s="368">
        <f t="shared" si="747"/>
        <v>17112.449783405031</v>
      </c>
      <c r="AQ599" s="368">
        <f t="shared" si="748"/>
        <v>5133.7349350215081</v>
      </c>
      <c r="AR599" s="368">
        <f t="shared" si="749"/>
        <v>0</v>
      </c>
      <c r="AS599" s="368">
        <f t="shared" si="750"/>
        <v>252.7</v>
      </c>
      <c r="AT599" s="368">
        <f t="shared" si="751"/>
        <v>8556.2248917025154</v>
      </c>
      <c r="AU599" s="368">
        <f t="shared" si="752"/>
        <v>1711.2449783405029</v>
      </c>
      <c r="AV599" s="368">
        <f t="shared" si="753"/>
        <v>14205.3</v>
      </c>
      <c r="AW599" s="368">
        <f t="shared" si="754"/>
        <v>6262.1</v>
      </c>
      <c r="AX599" s="368">
        <f t="shared" si="755"/>
        <v>4058.3999999999996</v>
      </c>
      <c r="AY599" s="368">
        <f t="shared" si="756"/>
        <v>0</v>
      </c>
      <c r="AZ599" s="368">
        <f t="shared" si="757"/>
        <v>2361.5180701098939</v>
      </c>
      <c r="BB599" s="64"/>
      <c r="BC599" s="66"/>
      <c r="BD599" s="66"/>
      <c r="BE599" s="66"/>
    </row>
    <row r="600" spans="1:177" s="364" customFormat="1" ht="21" customHeight="1" x14ac:dyDescent="0.2">
      <c r="B600" s="365">
        <v>171</v>
      </c>
      <c r="C600" s="372" t="s">
        <v>66</v>
      </c>
      <c r="D600" s="365">
        <v>16598</v>
      </c>
      <c r="E600" s="372" t="s">
        <v>810</v>
      </c>
      <c r="F600" s="378" t="s">
        <v>800</v>
      </c>
      <c r="G600" s="55">
        <v>44424</v>
      </c>
      <c r="H600" s="55" t="str">
        <f t="shared" si="707"/>
        <v>3 AÑOS</v>
      </c>
      <c r="I600" s="57">
        <v>2913.8808039874148</v>
      </c>
      <c r="J600" s="57">
        <v>3422.49</v>
      </c>
      <c r="K600" s="108">
        <f>J600-I600</f>
        <v>508.60919601258502</v>
      </c>
      <c r="L600" s="109">
        <f>K600*100/I600</f>
        <v>17.454701486642612</v>
      </c>
      <c r="M600" s="171">
        <v>1.74E-3</v>
      </c>
      <c r="N600" s="81">
        <f>I600*0.174547</f>
        <v>508.60915269359128</v>
      </c>
      <c r="O600" s="57">
        <f t="shared" si="708"/>
        <v>3422.4899566810059</v>
      </c>
      <c r="P600" s="81">
        <f t="shared" si="709"/>
        <v>6844.9799133620118</v>
      </c>
      <c r="Q600" s="81">
        <f t="shared" si="710"/>
        <v>5133.734935021509</v>
      </c>
      <c r="R600" s="81">
        <f t="shared" si="711"/>
        <v>1711.2449783405029</v>
      </c>
      <c r="S600" s="81">
        <f t="shared" si="712"/>
        <v>228.16599711206706</v>
      </c>
      <c r="T600" s="57">
        <f t="shared" si="713"/>
        <v>261.91174808494173</v>
      </c>
      <c r="U600" s="81">
        <f t="shared" si="714"/>
        <v>2566.8674675107545</v>
      </c>
      <c r="V600" s="57">
        <f t="shared" si="715"/>
        <v>855.62248917025147</v>
      </c>
      <c r="W600" s="101">
        <v>0</v>
      </c>
      <c r="X600" s="158">
        <f t="shared" si="716"/>
        <v>0</v>
      </c>
      <c r="Y600" s="81">
        <v>0</v>
      </c>
      <c r="Z600" s="81">
        <v>25.27</v>
      </c>
      <c r="AA600" s="81">
        <f t="shared" si="717"/>
        <v>855.62248917025147</v>
      </c>
      <c r="AB600" s="81">
        <f t="shared" si="718"/>
        <v>171.12449783405029</v>
      </c>
      <c r="AC600" s="81">
        <v>1420.53</v>
      </c>
      <c r="AD600" s="81">
        <v>626.21</v>
      </c>
      <c r="AE600" s="81">
        <v>405.84</v>
      </c>
      <c r="AF600" s="81">
        <v>0</v>
      </c>
      <c r="AG600" s="81">
        <f t="shared" si="719"/>
        <v>236.15180701098939</v>
      </c>
      <c r="AH600" s="64"/>
      <c r="AI600" s="64"/>
      <c r="AJ600" s="365">
        <v>171</v>
      </c>
      <c r="AK600" s="372" t="s">
        <v>66</v>
      </c>
      <c r="AL600" s="365">
        <v>16598</v>
      </c>
      <c r="AM600" s="372" t="s">
        <v>810</v>
      </c>
      <c r="AN600" s="378" t="s">
        <v>800</v>
      </c>
      <c r="AO600" s="401">
        <f t="shared" si="746"/>
        <v>51337.349350215089</v>
      </c>
      <c r="AP600" s="368">
        <f t="shared" si="747"/>
        <v>17112.449783405031</v>
      </c>
      <c r="AQ600" s="368">
        <f t="shared" si="748"/>
        <v>0</v>
      </c>
      <c r="AR600" s="368">
        <f t="shared" si="749"/>
        <v>0</v>
      </c>
      <c r="AS600" s="368">
        <f t="shared" si="750"/>
        <v>252.7</v>
      </c>
      <c r="AT600" s="368">
        <f t="shared" si="751"/>
        <v>8556.2248917025154</v>
      </c>
      <c r="AU600" s="368">
        <f t="shared" si="752"/>
        <v>1711.2449783405029</v>
      </c>
      <c r="AV600" s="368">
        <f t="shared" si="753"/>
        <v>14205.3</v>
      </c>
      <c r="AW600" s="368">
        <f t="shared" si="754"/>
        <v>6262.1</v>
      </c>
      <c r="AX600" s="368">
        <f t="shared" si="755"/>
        <v>4058.3999999999996</v>
      </c>
      <c r="AY600" s="368">
        <f t="shared" si="756"/>
        <v>0</v>
      </c>
      <c r="AZ600" s="368">
        <f t="shared" si="757"/>
        <v>2361.5180701098939</v>
      </c>
      <c r="BB600" s="64"/>
      <c r="BC600" s="66"/>
      <c r="BD600" s="66"/>
      <c r="BE600" s="66"/>
    </row>
    <row r="601" spans="1:177" s="364" customFormat="1" ht="21" customHeight="1" x14ac:dyDescent="0.2">
      <c r="B601" s="365">
        <v>172</v>
      </c>
      <c r="C601" s="372" t="s">
        <v>66</v>
      </c>
      <c r="D601" s="365">
        <v>16342</v>
      </c>
      <c r="E601" s="372" t="s">
        <v>811</v>
      </c>
      <c r="F601" s="79" t="s">
        <v>812</v>
      </c>
      <c r="G601" s="55">
        <v>41579</v>
      </c>
      <c r="H601" s="55" t="str">
        <f t="shared" si="707"/>
        <v>11 AÑOS</v>
      </c>
      <c r="I601" s="57">
        <v>3607.4823191783175</v>
      </c>
      <c r="J601" s="57"/>
      <c r="K601" s="57"/>
      <c r="L601" s="74"/>
      <c r="M601" s="171">
        <v>4.0000000000000002E-4</v>
      </c>
      <c r="N601" s="81">
        <f t="shared" si="724"/>
        <v>144.2992927671327</v>
      </c>
      <c r="O601" s="57">
        <f t="shared" si="708"/>
        <v>3751.7816119454501</v>
      </c>
      <c r="P601" s="81">
        <f t="shared" si="709"/>
        <v>7503.5632238909002</v>
      </c>
      <c r="Q601" s="81">
        <f t="shared" si="710"/>
        <v>5627.6724179181747</v>
      </c>
      <c r="R601" s="81">
        <f t="shared" si="711"/>
        <v>1875.890805972725</v>
      </c>
      <c r="S601" s="81">
        <f t="shared" si="712"/>
        <v>250.11877412969667</v>
      </c>
      <c r="T601" s="57">
        <f t="shared" si="713"/>
        <v>287.11134082347877</v>
      </c>
      <c r="U601" s="81">
        <f t="shared" si="714"/>
        <v>2813.8362089590873</v>
      </c>
      <c r="V601" s="57">
        <f t="shared" si="715"/>
        <v>937.94540298636252</v>
      </c>
      <c r="W601" s="101">
        <v>0.05</v>
      </c>
      <c r="X601" s="158">
        <f t="shared" si="716"/>
        <v>375.17816119454505</v>
      </c>
      <c r="Y601" s="81">
        <v>36.452954746763226</v>
      </c>
      <c r="Z601" s="81">
        <v>0</v>
      </c>
      <c r="AA601" s="81">
        <f t="shared" si="717"/>
        <v>937.94540298636264</v>
      </c>
      <c r="AB601" s="81">
        <f t="shared" si="718"/>
        <v>187.5890805972725</v>
      </c>
      <c r="AC601" s="81">
        <v>1489.7521951122819</v>
      </c>
      <c r="AD601" s="81">
        <v>686.66983828047296</v>
      </c>
      <c r="AE601" s="81">
        <v>445.0225782763921</v>
      </c>
      <c r="AF601" s="81">
        <v>0</v>
      </c>
      <c r="AG601" s="81">
        <f t="shared" si="719"/>
        <v>258.87293122423603</v>
      </c>
      <c r="AH601" s="64"/>
      <c r="AI601" s="64"/>
      <c r="AJ601" s="365">
        <v>172</v>
      </c>
      <c r="AK601" s="372" t="s">
        <v>66</v>
      </c>
      <c r="AL601" s="365">
        <v>16342</v>
      </c>
      <c r="AM601" s="372" t="s">
        <v>811</v>
      </c>
      <c r="AN601" s="79" t="s">
        <v>812</v>
      </c>
      <c r="AO601" s="401">
        <f>Q601*12</f>
        <v>67532.069015018089</v>
      </c>
      <c r="AP601" s="368">
        <f>R601*12</f>
        <v>22510.689671672699</v>
      </c>
      <c r="AQ601" s="368">
        <f t="shared" ref="AQ601:AZ601" si="761">X601*12</f>
        <v>4502.1379343345407</v>
      </c>
      <c r="AR601" s="368">
        <f t="shared" si="761"/>
        <v>437.43545696115871</v>
      </c>
      <c r="AS601" s="368">
        <f t="shared" si="761"/>
        <v>0</v>
      </c>
      <c r="AT601" s="368">
        <f t="shared" si="761"/>
        <v>11255.344835836351</v>
      </c>
      <c r="AU601" s="368">
        <f t="shared" si="761"/>
        <v>2251.0689671672699</v>
      </c>
      <c r="AV601" s="368">
        <f t="shared" si="761"/>
        <v>17877.026341347384</v>
      </c>
      <c r="AW601" s="368">
        <f t="shared" si="761"/>
        <v>8240.0380593656755</v>
      </c>
      <c r="AX601" s="368">
        <f t="shared" si="761"/>
        <v>5340.2709393167052</v>
      </c>
      <c r="AY601" s="368">
        <f t="shared" si="761"/>
        <v>0</v>
      </c>
      <c r="AZ601" s="368">
        <f t="shared" si="761"/>
        <v>3106.4751746908323</v>
      </c>
      <c r="BB601" s="64"/>
      <c r="BC601" s="66"/>
      <c r="BD601" s="66"/>
      <c r="BE601" s="66"/>
    </row>
    <row r="602" spans="1:177" s="364" customFormat="1" ht="21" customHeight="1" x14ac:dyDescent="0.2">
      <c r="B602" s="365">
        <v>173</v>
      </c>
      <c r="C602" s="372" t="s">
        <v>66</v>
      </c>
      <c r="D602" s="365">
        <v>16469</v>
      </c>
      <c r="E602" s="372" t="s">
        <v>813</v>
      </c>
      <c r="F602" s="79" t="s">
        <v>814</v>
      </c>
      <c r="G602" s="55">
        <v>42932</v>
      </c>
      <c r="H602" s="55" t="str">
        <f t="shared" si="707"/>
        <v>7 AÑOS</v>
      </c>
      <c r="I602" s="57">
        <v>4007.3975019900854</v>
      </c>
      <c r="J602" s="57">
        <v>4677</v>
      </c>
      <c r="K602" s="108">
        <f>J602-I602</f>
        <v>669.6024980099146</v>
      </c>
      <c r="L602" s="109">
        <f>K602*100/I602</f>
        <v>16.709160937426049</v>
      </c>
      <c r="M602" s="171">
        <v>1.671E-3</v>
      </c>
      <c r="N602" s="81">
        <f>I602*0.1671</f>
        <v>669.63612258254329</v>
      </c>
      <c r="O602" s="57">
        <f t="shared" si="708"/>
        <v>4677.0336245726285</v>
      </c>
      <c r="P602" s="81">
        <f t="shared" si="709"/>
        <v>9354.0672491452569</v>
      </c>
      <c r="Q602" s="81">
        <f t="shared" si="710"/>
        <v>7015.5504368589427</v>
      </c>
      <c r="R602" s="81">
        <f t="shared" si="711"/>
        <v>2338.5168122863142</v>
      </c>
      <c r="S602" s="81">
        <f t="shared" si="712"/>
        <v>311.80224163817525</v>
      </c>
      <c r="T602" s="57">
        <f t="shared" si="713"/>
        <v>357.91779317646132</v>
      </c>
      <c r="U602" s="81">
        <f t="shared" si="714"/>
        <v>3507.7752184294714</v>
      </c>
      <c r="V602" s="57">
        <f t="shared" si="715"/>
        <v>1169.2584061431571</v>
      </c>
      <c r="W602" s="101">
        <v>2.5000000000000001E-2</v>
      </c>
      <c r="X602" s="158">
        <f t="shared" si="716"/>
        <v>233.85168122863143</v>
      </c>
      <c r="Y602" s="81">
        <v>117.00682721777315</v>
      </c>
      <c r="Z602" s="81">
        <v>0</v>
      </c>
      <c r="AA602" s="81">
        <f t="shared" si="717"/>
        <v>1169.2584061431571</v>
      </c>
      <c r="AB602" s="81">
        <f t="shared" si="718"/>
        <v>233.85168122863146</v>
      </c>
      <c r="AC602" s="81">
        <v>1681.6</v>
      </c>
      <c r="AD602" s="81">
        <v>874.44</v>
      </c>
      <c r="AE602" s="81">
        <v>554.78</v>
      </c>
      <c r="AF602" s="81">
        <v>0</v>
      </c>
      <c r="AG602" s="81">
        <f t="shared" si="719"/>
        <v>322.71532009551134</v>
      </c>
      <c r="AH602" s="64"/>
      <c r="AI602" s="64"/>
      <c r="AJ602" s="365">
        <v>173</v>
      </c>
      <c r="AK602" s="372" t="s">
        <v>66</v>
      </c>
      <c r="AL602" s="365">
        <v>16469</v>
      </c>
      <c r="AM602" s="372" t="s">
        <v>813</v>
      </c>
      <c r="AN602" s="79" t="s">
        <v>814</v>
      </c>
      <c r="AO602" s="368">
        <f t="shared" ref="AO602:AP602" si="762">Q602*3</f>
        <v>21046.651310576828</v>
      </c>
      <c r="AP602" s="368">
        <f t="shared" si="762"/>
        <v>7015.5504368589427</v>
      </c>
      <c r="AQ602" s="368">
        <f t="shared" ref="AQ602:AZ602" si="763">X602*3</f>
        <v>701.55504368589436</v>
      </c>
      <c r="AR602" s="368">
        <f t="shared" si="763"/>
        <v>351.02048165331945</v>
      </c>
      <c r="AS602" s="368">
        <f t="shared" si="763"/>
        <v>0</v>
      </c>
      <c r="AT602" s="368">
        <f t="shared" si="763"/>
        <v>3507.7752184294714</v>
      </c>
      <c r="AU602" s="368">
        <f t="shared" si="763"/>
        <v>701.55504368589436</v>
      </c>
      <c r="AV602" s="368">
        <f t="shared" si="763"/>
        <v>5044.7999999999993</v>
      </c>
      <c r="AW602" s="368">
        <f t="shared" si="763"/>
        <v>2623.32</v>
      </c>
      <c r="AX602" s="368">
        <f t="shared" si="763"/>
        <v>1664.34</v>
      </c>
      <c r="AY602" s="368">
        <f t="shared" si="763"/>
        <v>0</v>
      </c>
      <c r="AZ602" s="368">
        <f t="shared" si="763"/>
        <v>968.14596028653409</v>
      </c>
      <c r="BB602" s="439"/>
      <c r="BD602" s="66"/>
      <c r="BE602" s="66"/>
    </row>
    <row r="603" spans="1:177" ht="21" customHeight="1" x14ac:dyDescent="0.2">
      <c r="B603" s="67">
        <v>174</v>
      </c>
      <c r="C603" s="73" t="s">
        <v>66</v>
      </c>
      <c r="D603" s="67">
        <v>13323</v>
      </c>
      <c r="E603" s="72" t="s">
        <v>815</v>
      </c>
      <c r="F603" s="73" t="s">
        <v>816</v>
      </c>
      <c r="G603" s="218">
        <v>42433</v>
      </c>
      <c r="H603" s="55" t="str">
        <f t="shared" si="707"/>
        <v>8 AÑOS</v>
      </c>
      <c r="I603" s="57">
        <v>4542.7199999999993</v>
      </c>
      <c r="J603" s="57"/>
      <c r="K603" s="57"/>
      <c r="L603" s="74"/>
      <c r="M603" s="171">
        <v>4.0000000000000002E-4</v>
      </c>
      <c r="N603" s="81">
        <f t="shared" si="724"/>
        <v>181.70879999999997</v>
      </c>
      <c r="O603" s="57">
        <f t="shared" si="708"/>
        <v>4724.4287999999997</v>
      </c>
      <c r="P603" s="57">
        <f t="shared" si="709"/>
        <v>9448.8575999999994</v>
      </c>
      <c r="Q603" s="81">
        <f t="shared" si="710"/>
        <v>7086.6431999999995</v>
      </c>
      <c r="R603" s="81">
        <f t="shared" si="711"/>
        <v>2362.2143999999998</v>
      </c>
      <c r="S603" s="81">
        <f t="shared" si="712"/>
        <v>314.96191999999996</v>
      </c>
      <c r="T603" s="57">
        <f t="shared" si="713"/>
        <v>361.54478796799992</v>
      </c>
      <c r="U603" s="81">
        <f t="shared" si="714"/>
        <v>3543.3215999999998</v>
      </c>
      <c r="V603" s="57">
        <f t="shared" si="715"/>
        <v>1181.1071999999999</v>
      </c>
      <c r="W603" s="101">
        <v>2.5000000000000001E-2</v>
      </c>
      <c r="X603" s="268">
        <f t="shared" si="716"/>
        <v>236.22144</v>
      </c>
      <c r="Y603" s="81">
        <v>243.26604415999986</v>
      </c>
      <c r="Z603" s="81">
        <v>0</v>
      </c>
      <c r="AA603" s="81">
        <f t="shared" si="717"/>
        <v>1181.1071999999999</v>
      </c>
      <c r="AB603" s="81">
        <f t="shared" si="718"/>
        <v>236.22144</v>
      </c>
      <c r="AC603" s="81">
        <v>1706.4701819755564</v>
      </c>
      <c r="AD603" s="81">
        <v>883.74200246958071</v>
      </c>
      <c r="AE603" s="81">
        <v>560.39442135039997</v>
      </c>
      <c r="AF603" s="81">
        <v>0</v>
      </c>
      <c r="AG603" s="81">
        <f t="shared" si="719"/>
        <v>325.98558719999994</v>
      </c>
      <c r="AH603" s="64"/>
      <c r="AI603" s="64"/>
      <c r="AJ603" s="67">
        <v>174</v>
      </c>
      <c r="AK603" s="73" t="s">
        <v>66</v>
      </c>
      <c r="AL603" s="67">
        <v>13323</v>
      </c>
      <c r="AM603" s="72" t="s">
        <v>815</v>
      </c>
      <c r="AN603" s="73" t="s">
        <v>816</v>
      </c>
      <c r="AO603" s="138">
        <f>Q603*12</f>
        <v>85039.718399999998</v>
      </c>
      <c r="AP603" s="65">
        <f>R603*12</f>
        <v>28346.572799999998</v>
      </c>
      <c r="AQ603" s="65">
        <f t="shared" ref="AQ603:AZ603" si="764">X603*12</f>
        <v>2834.6572799999999</v>
      </c>
      <c r="AR603" s="65">
        <f t="shared" si="764"/>
        <v>2919.1925299199984</v>
      </c>
      <c r="AS603" s="65">
        <f t="shared" si="764"/>
        <v>0</v>
      </c>
      <c r="AT603" s="65">
        <f t="shared" si="764"/>
        <v>14173.286399999999</v>
      </c>
      <c r="AU603" s="65">
        <f t="shared" si="764"/>
        <v>2834.6572799999999</v>
      </c>
      <c r="AV603" s="65">
        <f t="shared" si="764"/>
        <v>20477.642183706677</v>
      </c>
      <c r="AW603" s="65">
        <f t="shared" si="764"/>
        <v>10604.904029634969</v>
      </c>
      <c r="AX603" s="65">
        <f t="shared" si="764"/>
        <v>6724.7330562047991</v>
      </c>
      <c r="AY603" s="65">
        <f t="shared" si="764"/>
        <v>0</v>
      </c>
      <c r="AZ603" s="65">
        <f t="shared" si="764"/>
        <v>3911.8270463999993</v>
      </c>
      <c r="BD603" s="66"/>
      <c r="BE603" s="66"/>
    </row>
    <row r="604" spans="1:177" s="96" customFormat="1" ht="21" customHeight="1" x14ac:dyDescent="0.2">
      <c r="A604" s="50"/>
      <c r="B604" s="500" t="s">
        <v>99</v>
      </c>
      <c r="C604" s="500"/>
      <c r="D604" s="500"/>
      <c r="E604" s="143">
        <v>174</v>
      </c>
      <c r="F604" s="166" t="s">
        <v>100</v>
      </c>
      <c r="G604" s="89"/>
      <c r="H604" s="89"/>
      <c r="I604" s="91">
        <f t="shared" ref="I604:AG604" si="765">SUM(I435:I603)</f>
        <v>585113.21593602316</v>
      </c>
      <c r="J604" s="91">
        <f t="shared" si="765"/>
        <v>38901.899999999987</v>
      </c>
      <c r="K604" s="91">
        <f t="shared" si="765"/>
        <v>4670.2355566447577</v>
      </c>
      <c r="L604" s="91">
        <f t="shared" si="765"/>
        <v>151.23971997149027</v>
      </c>
      <c r="M604" s="91">
        <f t="shared" si="765"/>
        <v>0.12660600000000014</v>
      </c>
      <c r="N604" s="91">
        <f t="shared" si="765"/>
        <v>41471.090586238584</v>
      </c>
      <c r="O604" s="91">
        <f t="shared" si="765"/>
        <v>626584.30652226065</v>
      </c>
      <c r="P604" s="91">
        <f t="shared" si="765"/>
        <v>1253168.6130445213</v>
      </c>
      <c r="Q604" s="91">
        <f t="shared" si="765"/>
        <v>939876.4597833904</v>
      </c>
      <c r="R604" s="91">
        <f t="shared" si="765"/>
        <v>313292.15326113033</v>
      </c>
      <c r="S604" s="91">
        <f t="shared" si="765"/>
        <v>41772.287101484035</v>
      </c>
      <c r="T604" s="91">
        <f t="shared" si="765"/>
        <v>47950.408363793562</v>
      </c>
      <c r="U604" s="91">
        <f t="shared" si="765"/>
        <v>469938.2298916952</v>
      </c>
      <c r="V604" s="91">
        <f t="shared" si="765"/>
        <v>156646.07663056516</v>
      </c>
      <c r="W604" s="91">
        <f t="shared" si="765"/>
        <v>6.7250000000000076</v>
      </c>
      <c r="X604" s="91">
        <f t="shared" si="765"/>
        <v>50273.19226412478</v>
      </c>
      <c r="Y604" s="91">
        <f t="shared" si="765"/>
        <v>8978.8733235037689</v>
      </c>
      <c r="Z604" s="91">
        <f t="shared" si="765"/>
        <v>2679.8922375007387</v>
      </c>
      <c r="AA604" s="91">
        <f t="shared" si="765"/>
        <v>156646.07663056516</v>
      </c>
      <c r="AB604" s="91">
        <f t="shared" si="765"/>
        <v>31329.21532611311</v>
      </c>
      <c r="AC604" s="91">
        <f t="shared" si="765"/>
        <v>250715.75796335406</v>
      </c>
      <c r="AD604" s="91">
        <f t="shared" si="765"/>
        <v>115710.94536150924</v>
      </c>
      <c r="AE604" s="91">
        <f t="shared" si="765"/>
        <v>74350.194371535035</v>
      </c>
      <c r="AF604" s="91">
        <f t="shared" si="765"/>
        <v>0</v>
      </c>
      <c r="AG604" s="91">
        <f t="shared" si="765"/>
        <v>43234.31715003607</v>
      </c>
      <c r="AH604" s="92"/>
      <c r="AI604" s="92"/>
      <c r="AJ604" s="500" t="s">
        <v>99</v>
      </c>
      <c r="AK604" s="500"/>
      <c r="AL604" s="500"/>
      <c r="AM604" s="143">
        <v>174</v>
      </c>
      <c r="AN604" s="166" t="s">
        <v>100</v>
      </c>
      <c r="AO604" s="144">
        <f>SUM(AO434:AO603)+1175281.67</f>
        <v>11284604.124581495</v>
      </c>
      <c r="AP604" s="144">
        <f>SUM(AP434:AP603)+391760.56</f>
        <v>3761534.7115271641</v>
      </c>
      <c r="AQ604" s="144">
        <f>SUM(AQ434:AQ603)+47372.49</f>
        <v>598710.65378166398</v>
      </c>
      <c r="AR604" s="144">
        <f>SUM(AR434:AR603)+1303.76</f>
        <v>100623.51380548683</v>
      </c>
      <c r="AS604" s="144">
        <f>SUM(AS434:AS603)+9993.88</f>
        <v>37199.666850008922</v>
      </c>
      <c r="AT604" s="144">
        <f>SUM(AT434:AT603)+195880.28</f>
        <v>1880767.3557635818</v>
      </c>
      <c r="AU604" s="144">
        <f>SUM(AU434:AU603)+39176.05</f>
        <v>376153.46515271574</v>
      </c>
      <c r="AV604" s="144">
        <f>SUM(AV434:AV603)+327688.66</f>
        <v>3019932.0333363796</v>
      </c>
      <c r="AW604" s="144">
        <f>SUM(AW434:AW603)+137187.51</f>
        <v>1381761.623541574</v>
      </c>
      <c r="AX604" s="144">
        <f>SUM(AX434:AX603)+91101.77</f>
        <v>890791.30156308948</v>
      </c>
      <c r="AY604" s="144">
        <f>SUM(AY434:AY603)</f>
        <v>0</v>
      </c>
      <c r="AZ604" s="144">
        <f>SUM(AZ434:AZ603)+54062.96</f>
        <v>519091.7929107474</v>
      </c>
      <c r="BA604" s="94"/>
      <c r="BB604" s="92"/>
      <c r="BC604" s="95"/>
      <c r="BD604" s="95"/>
      <c r="BE604" s="95"/>
      <c r="BF604" s="50"/>
      <c r="BG604" s="50"/>
      <c r="BH604" s="50"/>
      <c r="BI604" s="50"/>
      <c r="BJ604" s="50"/>
      <c r="BK604" s="50"/>
      <c r="BL604" s="50"/>
      <c r="BM604" s="50"/>
      <c r="BN604" s="50"/>
      <c r="BO604" s="50"/>
      <c r="BP604" s="50"/>
      <c r="BQ604" s="50"/>
      <c r="BR604" s="50"/>
      <c r="BS604" s="50"/>
      <c r="BT604" s="50"/>
      <c r="BU604" s="50"/>
      <c r="BV604" s="50"/>
      <c r="BW604" s="50"/>
      <c r="BX604" s="50"/>
      <c r="BY604" s="50"/>
      <c r="BZ604" s="50"/>
      <c r="CA604" s="50"/>
      <c r="CB604" s="50"/>
      <c r="CC604" s="50"/>
      <c r="CD604" s="50"/>
      <c r="CE604" s="50"/>
      <c r="CF604" s="50"/>
      <c r="CG604" s="50"/>
      <c r="CH604" s="50"/>
      <c r="CI604" s="50"/>
      <c r="CJ604" s="50"/>
      <c r="CK604" s="50"/>
      <c r="CL604" s="50"/>
      <c r="CM604" s="50"/>
      <c r="CN604" s="50"/>
      <c r="CO604" s="50"/>
      <c r="CP604" s="50"/>
      <c r="CQ604" s="50"/>
      <c r="CR604" s="50"/>
      <c r="CS604" s="50"/>
      <c r="CT604" s="50"/>
      <c r="CU604" s="50"/>
      <c r="CV604" s="50"/>
      <c r="CW604" s="50"/>
      <c r="CX604" s="50"/>
      <c r="CY604" s="50"/>
      <c r="CZ604" s="50"/>
      <c r="DA604" s="50"/>
      <c r="DB604" s="50"/>
      <c r="DC604" s="50"/>
      <c r="DD604" s="50"/>
      <c r="DE604" s="50"/>
      <c r="DF604" s="50"/>
      <c r="DG604" s="50"/>
      <c r="DH604" s="50"/>
      <c r="DI604" s="50"/>
      <c r="DJ604" s="50"/>
      <c r="DK604" s="50"/>
      <c r="DL604" s="50"/>
      <c r="DM604" s="50"/>
      <c r="DN604" s="50"/>
      <c r="DO604" s="50"/>
      <c r="DP604" s="50"/>
      <c r="DQ604" s="50"/>
      <c r="DR604" s="50"/>
      <c r="DS604" s="50"/>
      <c r="DT604" s="50"/>
      <c r="DU604" s="50"/>
      <c r="DV604" s="50"/>
      <c r="DW604" s="50"/>
      <c r="DX604" s="50"/>
      <c r="DY604" s="50"/>
      <c r="DZ604" s="50"/>
      <c r="EA604" s="50"/>
      <c r="EB604" s="50"/>
      <c r="EC604" s="50"/>
      <c r="ED604" s="50"/>
      <c r="EE604" s="50"/>
      <c r="EF604" s="50"/>
      <c r="EG604" s="50"/>
      <c r="EH604" s="50"/>
      <c r="EI604" s="50"/>
      <c r="EJ604" s="50"/>
      <c r="EK604" s="50"/>
      <c r="EL604" s="50"/>
      <c r="EM604" s="50"/>
      <c r="EN604" s="50"/>
      <c r="EO604" s="50"/>
      <c r="EP604" s="50"/>
      <c r="EQ604" s="50"/>
      <c r="ER604" s="50"/>
      <c r="ES604" s="50"/>
      <c r="ET604" s="50"/>
      <c r="EU604" s="50"/>
      <c r="EV604" s="50"/>
      <c r="EW604" s="50"/>
      <c r="EX604" s="50"/>
      <c r="EY604" s="50"/>
      <c r="EZ604" s="50"/>
      <c r="FA604" s="50"/>
      <c r="FB604" s="50"/>
      <c r="FC604" s="50"/>
      <c r="FD604" s="50"/>
      <c r="FE604" s="50"/>
      <c r="FF604" s="50"/>
      <c r="FG604" s="50"/>
      <c r="FH604" s="50"/>
      <c r="FI604" s="50"/>
      <c r="FJ604" s="50"/>
      <c r="FK604" s="50"/>
      <c r="FL604" s="50"/>
      <c r="FM604" s="50"/>
      <c r="FN604" s="50"/>
      <c r="FO604" s="50"/>
      <c r="FP604" s="50"/>
      <c r="FQ604" s="50"/>
      <c r="FR604" s="50"/>
      <c r="FS604" s="50"/>
      <c r="FT604" s="50"/>
      <c r="FU604" s="50"/>
    </row>
    <row r="605" spans="1:177" ht="21" customHeight="1" x14ac:dyDescent="0.2">
      <c r="B605" s="501" t="s">
        <v>101</v>
      </c>
      <c r="C605" s="501"/>
      <c r="D605" s="501"/>
      <c r="E605" s="76">
        <v>169</v>
      </c>
      <c r="F605" s="122" t="s">
        <v>817</v>
      </c>
      <c r="G605" s="147"/>
      <c r="H605" s="147"/>
      <c r="I605" s="57">
        <f t="shared" ref="I605:AG605" si="766">I433+I604</f>
        <v>628178.41445808962</v>
      </c>
      <c r="J605" s="57">
        <f t="shared" si="766"/>
        <v>38901.899999999987</v>
      </c>
      <c r="K605" s="57">
        <f t="shared" si="766"/>
        <v>4670.2355566447577</v>
      </c>
      <c r="L605" s="74">
        <f t="shared" si="766"/>
        <v>151.23971997149027</v>
      </c>
      <c r="M605" s="57">
        <f t="shared" si="766"/>
        <v>0.12820600000000013</v>
      </c>
      <c r="N605" s="57">
        <f t="shared" si="766"/>
        <v>43193.69852712124</v>
      </c>
      <c r="O605" s="57">
        <f t="shared" si="766"/>
        <v>671372.11298520979</v>
      </c>
      <c r="P605" s="57">
        <f t="shared" si="766"/>
        <v>1342744.2259704196</v>
      </c>
      <c r="Q605" s="57">
        <f t="shared" si="766"/>
        <v>1007058.169477814</v>
      </c>
      <c r="R605" s="57">
        <f t="shared" si="766"/>
        <v>335686.0564926049</v>
      </c>
      <c r="S605" s="57">
        <f t="shared" si="766"/>
        <v>44758.140865680638</v>
      </c>
      <c r="T605" s="57">
        <f t="shared" si="766"/>
        <v>51377.869899714846</v>
      </c>
      <c r="U605" s="81">
        <f t="shared" si="766"/>
        <v>503529.084738907</v>
      </c>
      <c r="V605" s="57">
        <f t="shared" si="766"/>
        <v>167843.02824630245</v>
      </c>
      <c r="W605" s="57">
        <f t="shared" si="766"/>
        <v>6.7250000000000076</v>
      </c>
      <c r="X605" s="57">
        <f t="shared" si="766"/>
        <v>50273.19226412478</v>
      </c>
      <c r="Y605" s="57">
        <f t="shared" si="766"/>
        <v>17032.5091243641</v>
      </c>
      <c r="Z605" s="57">
        <f t="shared" si="766"/>
        <v>2679.8922375007387</v>
      </c>
      <c r="AA605" s="57">
        <f t="shared" si="766"/>
        <v>167843.02824630245</v>
      </c>
      <c r="AB605" s="57">
        <f t="shared" si="766"/>
        <v>33568.605649260564</v>
      </c>
      <c r="AC605" s="57">
        <f t="shared" si="766"/>
        <v>263887.914609225</v>
      </c>
      <c r="AD605" s="57">
        <f t="shared" si="766"/>
        <v>124694.49342023571</v>
      </c>
      <c r="AE605" s="57">
        <f t="shared" si="766"/>
        <v>79662.759752213024</v>
      </c>
      <c r="AF605" s="57">
        <f t="shared" si="766"/>
        <v>0</v>
      </c>
      <c r="AG605" s="57">
        <f t="shared" si="766"/>
        <v>46324.675795979558</v>
      </c>
      <c r="AH605" s="92">
        <f>Q605+R605-Y605+Z605+X605+AA605+AB605+AC605+AD605+AE605+AF605+AG605</f>
        <v>2094646.2788208968</v>
      </c>
      <c r="AI605" s="92">
        <f>AH605*12</f>
        <v>25135755.345850762</v>
      </c>
      <c r="AJ605" s="501" t="s">
        <v>101</v>
      </c>
      <c r="AK605" s="501"/>
      <c r="AL605" s="501"/>
      <c r="AM605" s="76">
        <v>169</v>
      </c>
      <c r="AN605" s="122" t="s">
        <v>817</v>
      </c>
      <c r="AO605" s="148">
        <f t="shared" ref="AO605:AZ605" si="767">AO604+AO433</f>
        <v>12090784.64091458</v>
      </c>
      <c r="AP605" s="148">
        <f t="shared" si="767"/>
        <v>4030261.5503048585</v>
      </c>
      <c r="AQ605" s="148">
        <f t="shared" si="767"/>
        <v>598710.65378166398</v>
      </c>
      <c r="AR605" s="148">
        <f t="shared" si="767"/>
        <v>197267.1434158108</v>
      </c>
      <c r="AS605" s="148">
        <f t="shared" si="767"/>
        <v>37199.666850008922</v>
      </c>
      <c r="AT605" s="148">
        <f t="shared" si="767"/>
        <v>2015130.775152429</v>
      </c>
      <c r="AU605" s="148">
        <f t="shared" si="767"/>
        <v>403026.14903048519</v>
      </c>
      <c r="AV605" s="148">
        <f t="shared" si="767"/>
        <v>3177997.9130868311</v>
      </c>
      <c r="AW605" s="148">
        <f t="shared" si="767"/>
        <v>1489564.2002462917</v>
      </c>
      <c r="AX605" s="148">
        <f t="shared" si="767"/>
        <v>954542.08613122534</v>
      </c>
      <c r="AY605" s="148">
        <f t="shared" si="767"/>
        <v>0</v>
      </c>
      <c r="AZ605" s="148">
        <f t="shared" si="767"/>
        <v>556176.09666206921</v>
      </c>
      <c r="BA605" s="94"/>
      <c r="BB605" s="92">
        <f>AO605+AP605+AQ605-AR605+AS605+AU605+AV605+AT605+AW605+AX605+AY605+AZ605</f>
        <v>25156126.588744637</v>
      </c>
      <c r="BC605" s="95"/>
      <c r="BD605" s="95"/>
      <c r="BE605" s="95"/>
    </row>
    <row r="606" spans="1:177" ht="21" customHeight="1" x14ac:dyDescent="0.2">
      <c r="B606" s="457" t="s">
        <v>103</v>
      </c>
      <c r="C606" s="458"/>
      <c r="D606" s="458"/>
      <c r="E606" s="76">
        <f>E604-E605</f>
        <v>5</v>
      </c>
      <c r="F606" s="73"/>
      <c r="G606" s="479"/>
      <c r="H606" s="479"/>
      <c r="I606" s="479"/>
      <c r="J606" s="479"/>
      <c r="K606" s="479"/>
      <c r="L606" s="479"/>
      <c r="M606" s="479"/>
      <c r="N606" s="479"/>
      <c r="O606" s="479"/>
      <c r="P606" s="479"/>
      <c r="Q606" s="479"/>
      <c r="R606" s="479"/>
      <c r="S606" s="479"/>
      <c r="T606" s="479"/>
      <c r="U606" s="479"/>
      <c r="V606" s="479"/>
      <c r="W606" s="479"/>
      <c r="X606" s="479"/>
      <c r="Y606" s="479"/>
      <c r="Z606" s="479"/>
      <c r="AA606" s="479"/>
      <c r="AB606" s="479"/>
      <c r="AC606" s="479"/>
      <c r="AD606" s="479"/>
      <c r="AE606" s="479"/>
      <c r="AF606" s="479"/>
      <c r="AG606" s="480"/>
      <c r="AH606" s="64"/>
      <c r="AI606" s="64"/>
      <c r="AJ606" s="457" t="s">
        <v>103</v>
      </c>
      <c r="AK606" s="458"/>
      <c r="AL606" s="458"/>
      <c r="AM606" s="76">
        <f>AM604-AM605</f>
        <v>5</v>
      </c>
      <c r="AN606" s="73"/>
      <c r="AO606" s="481"/>
      <c r="AP606" s="482"/>
      <c r="AQ606" s="482"/>
      <c r="AR606" s="482"/>
      <c r="AS606" s="482"/>
      <c r="AT606" s="482"/>
      <c r="AU606" s="482"/>
      <c r="AV606" s="482"/>
      <c r="AW606" s="482"/>
      <c r="AX606" s="482"/>
      <c r="AY606" s="482"/>
      <c r="AZ606" s="483"/>
      <c r="BA606" s="152"/>
      <c r="BB606" s="92"/>
      <c r="BC606" s="95"/>
      <c r="BD606" s="95"/>
      <c r="BE606" s="95"/>
    </row>
    <row r="607" spans="1:177" ht="21" customHeight="1" x14ac:dyDescent="0.2">
      <c r="B607" s="5"/>
      <c r="C607" s="94"/>
      <c r="D607" s="5"/>
      <c r="E607" s="94"/>
      <c r="G607" s="27"/>
      <c r="H607" s="27"/>
      <c r="K607" s="95"/>
      <c r="L607" s="27"/>
      <c r="M607" s="128"/>
      <c r="N607" s="66"/>
      <c r="O607" s="95"/>
      <c r="P607" s="66"/>
      <c r="Q607" s="66"/>
      <c r="R607" s="66"/>
      <c r="S607" s="66"/>
      <c r="T607" s="95"/>
      <c r="U607" s="66"/>
      <c r="V607" s="95"/>
      <c r="W607" s="129"/>
      <c r="X607" s="130"/>
      <c r="Y607" s="66"/>
      <c r="Z607" s="66"/>
      <c r="AA607" s="66"/>
      <c r="AB607" s="66"/>
      <c r="AC607" s="66"/>
      <c r="AD607" s="66"/>
      <c r="AE607" s="66"/>
      <c r="AF607" s="66"/>
      <c r="AG607" s="66"/>
      <c r="AH607" s="64"/>
      <c r="AI607" s="64"/>
      <c r="AJ607" s="5"/>
      <c r="AK607" s="94"/>
      <c r="AL607" s="5"/>
      <c r="AM607" s="94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2"/>
      <c r="BB607" s="92"/>
      <c r="BC607" s="95"/>
      <c r="BD607" s="95"/>
      <c r="BE607" s="95"/>
    </row>
    <row r="608" spans="1:177" ht="21" customHeight="1" thickBot="1" x14ac:dyDescent="0.25">
      <c r="B608" s="5"/>
      <c r="C608" s="94"/>
      <c r="D608" s="5"/>
      <c r="E608" s="94"/>
      <c r="G608" s="27"/>
      <c r="H608" s="27"/>
      <c r="I608" s="95"/>
      <c r="J608" s="95"/>
      <c r="K608" s="95"/>
      <c r="L608" s="27"/>
      <c r="M608" s="128"/>
      <c r="N608" s="66"/>
      <c r="O608" s="95"/>
      <c r="P608" s="66"/>
      <c r="Q608" s="66"/>
      <c r="R608" s="66"/>
      <c r="S608" s="66"/>
      <c r="T608" s="95"/>
      <c r="U608" s="66"/>
      <c r="V608" s="95"/>
      <c r="W608" s="129"/>
      <c r="X608" s="130"/>
      <c r="Y608" s="66"/>
      <c r="Z608" s="66"/>
      <c r="AA608" s="66"/>
      <c r="AB608" s="66"/>
      <c r="AC608" s="66"/>
      <c r="AD608" s="66"/>
      <c r="AE608" s="66"/>
      <c r="AF608" s="66"/>
      <c r="AG608" s="66"/>
      <c r="AH608" s="64"/>
      <c r="AI608" s="64"/>
      <c r="AJ608" s="5"/>
      <c r="AK608" s="94"/>
      <c r="AL608" s="5"/>
      <c r="AM608" s="94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2"/>
      <c r="BB608" s="92"/>
      <c r="BC608" s="95"/>
      <c r="BD608" s="95"/>
      <c r="BE608" s="95"/>
    </row>
    <row r="609" spans="1:177" s="134" customFormat="1" ht="21" customHeight="1" thickBot="1" x14ac:dyDescent="0.25">
      <c r="A609" s="94"/>
      <c r="B609" s="476" t="s">
        <v>818</v>
      </c>
      <c r="C609" s="477"/>
      <c r="D609" s="477"/>
      <c r="E609" s="478"/>
      <c r="F609" s="466" t="s">
        <v>4</v>
      </c>
      <c r="G609" s="7" t="s">
        <v>5</v>
      </c>
      <c r="H609" s="8" t="s">
        <v>6</v>
      </c>
      <c r="I609" s="9" t="s">
        <v>7</v>
      </c>
      <c r="J609" s="9"/>
      <c r="K609" s="9"/>
      <c r="L609" s="9"/>
      <c r="M609" s="10">
        <v>4.0000000000000002E-4</v>
      </c>
      <c r="N609" s="11" t="s">
        <v>8</v>
      </c>
      <c r="O609" s="12" t="s">
        <v>9</v>
      </c>
      <c r="P609" s="12" t="s">
        <v>10</v>
      </c>
      <c r="Q609" s="13" t="s">
        <v>11</v>
      </c>
      <c r="R609" s="12" t="s">
        <v>12</v>
      </c>
      <c r="S609" s="14" t="s">
        <v>11</v>
      </c>
      <c r="T609" s="15" t="s">
        <v>13</v>
      </c>
      <c r="U609" s="16" t="s">
        <v>11</v>
      </c>
      <c r="V609" s="17" t="s">
        <v>12</v>
      </c>
      <c r="W609" s="18" t="s">
        <v>14</v>
      </c>
      <c r="X609" s="19" t="s">
        <v>15</v>
      </c>
      <c r="Y609" s="15" t="s">
        <v>16</v>
      </c>
      <c r="Z609" s="13" t="s">
        <v>17</v>
      </c>
      <c r="AA609" s="20" t="s">
        <v>18</v>
      </c>
      <c r="AB609" s="17" t="s">
        <v>19</v>
      </c>
      <c r="AC609" s="13" t="s">
        <v>20</v>
      </c>
      <c r="AD609" s="13" t="s">
        <v>21</v>
      </c>
      <c r="AE609" s="13" t="s">
        <v>22</v>
      </c>
      <c r="AF609" s="17" t="s">
        <v>23</v>
      </c>
      <c r="AG609" s="12" t="s">
        <v>24</v>
      </c>
      <c r="AH609" s="132"/>
      <c r="AI609" s="132"/>
      <c r="AJ609" s="476" t="s">
        <v>818</v>
      </c>
      <c r="AK609" s="477"/>
      <c r="AL609" s="477"/>
      <c r="AM609" s="478"/>
      <c r="AN609" s="466" t="s">
        <v>4</v>
      </c>
      <c r="AO609" s="133" t="s">
        <v>11</v>
      </c>
      <c r="AP609" s="12" t="s">
        <v>12</v>
      </c>
      <c r="AQ609" s="23" t="s">
        <v>15</v>
      </c>
      <c r="AR609" s="22" t="s">
        <v>16</v>
      </c>
      <c r="AS609" s="22" t="s">
        <v>25</v>
      </c>
      <c r="AT609" s="20" t="s">
        <v>26</v>
      </c>
      <c r="AU609" s="24" t="s">
        <v>27</v>
      </c>
      <c r="AV609" s="23" t="s">
        <v>20</v>
      </c>
      <c r="AW609" s="22" t="s">
        <v>28</v>
      </c>
      <c r="AX609" s="22" t="s">
        <v>29</v>
      </c>
      <c r="AY609" s="25" t="s">
        <v>23</v>
      </c>
      <c r="AZ609" s="24" t="s">
        <v>24</v>
      </c>
      <c r="BA609" s="94"/>
      <c r="BB609" s="92"/>
      <c r="BC609" s="95"/>
      <c r="BD609" s="95"/>
      <c r="BE609" s="95"/>
      <c r="BF609" s="94"/>
      <c r="BG609" s="94"/>
      <c r="BH609" s="94"/>
      <c r="BI609" s="94"/>
      <c r="BJ609" s="94"/>
      <c r="BK609" s="94"/>
      <c r="BL609" s="94"/>
      <c r="BM609" s="94"/>
      <c r="BN609" s="94"/>
      <c r="BO609" s="94"/>
      <c r="BP609" s="94"/>
      <c r="BQ609" s="94"/>
      <c r="BR609" s="94"/>
      <c r="BS609" s="94"/>
      <c r="BT609" s="94"/>
      <c r="BU609" s="94"/>
      <c r="BV609" s="94"/>
      <c r="BW609" s="94"/>
      <c r="BX609" s="94"/>
      <c r="BY609" s="94"/>
      <c r="BZ609" s="94"/>
      <c r="CA609" s="94"/>
      <c r="CB609" s="94"/>
      <c r="CC609" s="94"/>
      <c r="CD609" s="94"/>
      <c r="CE609" s="94"/>
      <c r="CF609" s="94"/>
      <c r="CG609" s="94"/>
      <c r="CH609" s="94"/>
      <c r="CI609" s="94"/>
      <c r="CJ609" s="94"/>
      <c r="CK609" s="94"/>
      <c r="CL609" s="94"/>
      <c r="CM609" s="94"/>
      <c r="CN609" s="94"/>
      <c r="CO609" s="94"/>
      <c r="CP609" s="94"/>
      <c r="CQ609" s="94"/>
      <c r="CR609" s="94"/>
      <c r="CS609" s="94"/>
      <c r="CT609" s="94"/>
      <c r="CU609" s="94"/>
      <c r="CV609" s="94"/>
      <c r="CW609" s="94"/>
      <c r="CX609" s="94"/>
      <c r="CY609" s="94"/>
      <c r="CZ609" s="94"/>
      <c r="DA609" s="94"/>
      <c r="DB609" s="94"/>
      <c r="DC609" s="94"/>
      <c r="DD609" s="94"/>
      <c r="DE609" s="94"/>
      <c r="DF609" s="94"/>
      <c r="DG609" s="94"/>
      <c r="DH609" s="94"/>
      <c r="DI609" s="94"/>
      <c r="DJ609" s="94"/>
      <c r="DK609" s="94"/>
      <c r="DL609" s="94"/>
      <c r="DM609" s="94"/>
      <c r="DN609" s="94"/>
      <c r="DO609" s="94"/>
      <c r="DP609" s="94"/>
      <c r="DQ609" s="94"/>
      <c r="DR609" s="94"/>
      <c r="DS609" s="94"/>
      <c r="DT609" s="94"/>
      <c r="DU609" s="94"/>
      <c r="DV609" s="94"/>
      <c r="DW609" s="94"/>
      <c r="DX609" s="94"/>
      <c r="DY609" s="94"/>
      <c r="DZ609" s="94"/>
      <c r="EA609" s="94"/>
      <c r="EB609" s="94"/>
      <c r="EC609" s="94"/>
      <c r="ED609" s="94"/>
      <c r="EE609" s="94"/>
      <c r="EF609" s="94"/>
      <c r="EG609" s="94"/>
      <c r="EH609" s="94"/>
      <c r="EI609" s="94"/>
      <c r="EJ609" s="94"/>
      <c r="EK609" s="94"/>
      <c r="EL609" s="94"/>
      <c r="EM609" s="94"/>
      <c r="EN609" s="94"/>
      <c r="EO609" s="94"/>
      <c r="EP609" s="94"/>
      <c r="EQ609" s="94"/>
      <c r="ER609" s="94"/>
      <c r="ES609" s="94"/>
      <c r="ET609" s="94"/>
      <c r="EU609" s="94"/>
      <c r="EV609" s="94"/>
      <c r="EW609" s="94"/>
      <c r="EX609" s="94"/>
      <c r="EY609" s="94"/>
      <c r="EZ609" s="94"/>
      <c r="FA609" s="94"/>
      <c r="FB609" s="94"/>
      <c r="FC609" s="94"/>
      <c r="FD609" s="94"/>
      <c r="FE609" s="94"/>
      <c r="FF609" s="94"/>
      <c r="FG609" s="94"/>
      <c r="FH609" s="94"/>
      <c r="FI609" s="94"/>
      <c r="FJ609" s="94"/>
      <c r="FK609" s="94"/>
      <c r="FL609" s="94"/>
      <c r="FM609" s="94"/>
      <c r="FN609" s="94"/>
      <c r="FO609" s="94"/>
      <c r="FP609" s="94"/>
      <c r="FQ609" s="94"/>
      <c r="FR609" s="94"/>
      <c r="FS609" s="94"/>
      <c r="FT609" s="94"/>
      <c r="FU609" s="94"/>
    </row>
    <row r="610" spans="1:177" s="134" customFormat="1" ht="21" customHeight="1" thickBot="1" x14ac:dyDescent="0.25">
      <c r="A610" s="94"/>
      <c r="B610" s="30" t="s">
        <v>30</v>
      </c>
      <c r="C610" s="6" t="s">
        <v>31</v>
      </c>
      <c r="D610" s="30" t="s">
        <v>105</v>
      </c>
      <c r="E610" s="32" t="s">
        <v>32</v>
      </c>
      <c r="F610" s="467"/>
      <c r="G610" s="33" t="s">
        <v>33</v>
      </c>
      <c r="H610" s="34">
        <v>45657</v>
      </c>
      <c r="I610" s="35">
        <v>2023</v>
      </c>
      <c r="J610" s="35"/>
      <c r="K610" s="35"/>
      <c r="L610" s="35"/>
      <c r="M610" s="36"/>
      <c r="N610" s="37"/>
      <c r="O610" s="38">
        <v>2024</v>
      </c>
      <c r="P610" s="39" t="s">
        <v>34</v>
      </c>
      <c r="Q610" s="40" t="s">
        <v>35</v>
      </c>
      <c r="R610" s="39" t="s">
        <v>36</v>
      </c>
      <c r="S610" s="41" t="s">
        <v>37</v>
      </c>
      <c r="T610" s="42" t="s">
        <v>38</v>
      </c>
      <c r="U610" s="43" t="s">
        <v>39</v>
      </c>
      <c r="V610" s="41" t="s">
        <v>39</v>
      </c>
      <c r="W610" s="44" t="s">
        <v>15</v>
      </c>
      <c r="X610" s="45" t="s">
        <v>35</v>
      </c>
      <c r="Y610" s="42" t="s">
        <v>35</v>
      </c>
      <c r="Z610" s="40" t="s">
        <v>35</v>
      </c>
      <c r="AA610" s="46" t="s">
        <v>35</v>
      </c>
      <c r="AB610" s="41" t="s">
        <v>35</v>
      </c>
      <c r="AC610" s="40" t="s">
        <v>35</v>
      </c>
      <c r="AD610" s="40" t="s">
        <v>35</v>
      </c>
      <c r="AE610" s="40" t="s">
        <v>35</v>
      </c>
      <c r="AF610" s="41" t="s">
        <v>35</v>
      </c>
      <c r="AG610" s="40" t="s">
        <v>35</v>
      </c>
      <c r="AH610" s="135"/>
      <c r="AI610" s="135"/>
      <c r="AJ610" s="30" t="s">
        <v>30</v>
      </c>
      <c r="AK610" s="6" t="s">
        <v>31</v>
      </c>
      <c r="AL610" s="30" t="s">
        <v>105</v>
      </c>
      <c r="AM610" s="32" t="s">
        <v>32</v>
      </c>
      <c r="AN610" s="467"/>
      <c r="AO610" s="46" t="s">
        <v>40</v>
      </c>
      <c r="AP610" s="39" t="s">
        <v>41</v>
      </c>
      <c r="AQ610" s="48" t="s">
        <v>40</v>
      </c>
      <c r="AR610" s="49" t="s">
        <v>40</v>
      </c>
      <c r="AS610" s="49" t="s">
        <v>40</v>
      </c>
      <c r="AT610" s="46" t="s">
        <v>40</v>
      </c>
      <c r="AU610" s="49" t="s">
        <v>40</v>
      </c>
      <c r="AV610" s="48" t="s">
        <v>40</v>
      </c>
      <c r="AW610" s="49" t="s">
        <v>40</v>
      </c>
      <c r="AX610" s="49" t="s">
        <v>40</v>
      </c>
      <c r="AY610" s="48" t="s">
        <v>40</v>
      </c>
      <c r="AZ610" s="49" t="s">
        <v>40</v>
      </c>
      <c r="BA610" s="94"/>
      <c r="BB610" s="92"/>
      <c r="BC610" s="95"/>
      <c r="BD610" s="95"/>
      <c r="BE610" s="95"/>
      <c r="BF610" s="94"/>
      <c r="BG610" s="94"/>
      <c r="BH610" s="94"/>
      <c r="BI610" s="94"/>
      <c r="BJ610" s="94"/>
      <c r="BK610" s="94"/>
      <c r="BL610" s="94"/>
      <c r="BM610" s="94"/>
      <c r="BN610" s="94"/>
      <c r="BO610" s="94"/>
      <c r="BP610" s="94"/>
      <c r="BQ610" s="94"/>
      <c r="BR610" s="94"/>
      <c r="BS610" s="94"/>
      <c r="BT610" s="94"/>
      <c r="BU610" s="94"/>
      <c r="BV610" s="94"/>
      <c r="BW610" s="94"/>
      <c r="BX610" s="94"/>
      <c r="BY610" s="94"/>
      <c r="BZ610" s="94"/>
      <c r="CA610" s="94"/>
      <c r="CB610" s="94"/>
      <c r="CC610" s="94"/>
      <c r="CD610" s="94"/>
      <c r="CE610" s="94"/>
      <c r="CF610" s="94"/>
      <c r="CG610" s="94"/>
      <c r="CH610" s="94"/>
      <c r="CI610" s="94"/>
      <c r="CJ610" s="94"/>
      <c r="CK610" s="94"/>
      <c r="CL610" s="94"/>
      <c r="CM610" s="94"/>
      <c r="CN610" s="94"/>
      <c r="CO610" s="94"/>
      <c r="CP610" s="94"/>
      <c r="CQ610" s="94"/>
      <c r="CR610" s="94"/>
      <c r="CS610" s="94"/>
      <c r="CT610" s="94"/>
      <c r="CU610" s="94"/>
      <c r="CV610" s="94"/>
      <c r="CW610" s="94"/>
      <c r="CX610" s="94"/>
      <c r="CY610" s="94"/>
      <c r="CZ610" s="94"/>
      <c r="DA610" s="94"/>
      <c r="DB610" s="94"/>
      <c r="DC610" s="94"/>
      <c r="DD610" s="94"/>
      <c r="DE610" s="94"/>
      <c r="DF610" s="94"/>
      <c r="DG610" s="94"/>
      <c r="DH610" s="94"/>
      <c r="DI610" s="94"/>
      <c r="DJ610" s="94"/>
      <c r="DK610" s="94"/>
      <c r="DL610" s="94"/>
      <c r="DM610" s="94"/>
      <c r="DN610" s="94"/>
      <c r="DO610" s="94"/>
      <c r="DP610" s="94"/>
      <c r="DQ610" s="94"/>
      <c r="DR610" s="94"/>
      <c r="DS610" s="94"/>
      <c r="DT610" s="94"/>
      <c r="DU610" s="94"/>
      <c r="DV610" s="94"/>
      <c r="DW610" s="94"/>
      <c r="DX610" s="94"/>
      <c r="DY610" s="94"/>
      <c r="DZ610" s="94"/>
      <c r="EA610" s="94"/>
      <c r="EB610" s="94"/>
      <c r="EC610" s="94"/>
      <c r="ED610" s="94"/>
      <c r="EE610" s="94"/>
      <c r="EF610" s="94"/>
      <c r="EG610" s="94"/>
      <c r="EH610" s="94"/>
      <c r="EI610" s="94"/>
      <c r="EJ610" s="94"/>
      <c r="EK610" s="94"/>
      <c r="EL610" s="94"/>
      <c r="EM610" s="94"/>
      <c r="EN610" s="94"/>
      <c r="EO610" s="94"/>
      <c r="EP610" s="94"/>
      <c r="EQ610" s="94"/>
      <c r="ER610" s="94"/>
      <c r="ES610" s="94"/>
      <c r="ET610" s="94"/>
      <c r="EU610" s="94"/>
      <c r="EV610" s="94"/>
      <c r="EW610" s="94"/>
      <c r="EX610" s="94"/>
      <c r="EY610" s="94"/>
      <c r="EZ610" s="94"/>
      <c r="FA610" s="94"/>
      <c r="FB610" s="94"/>
      <c r="FC610" s="94"/>
      <c r="FD610" s="94"/>
      <c r="FE610" s="94"/>
      <c r="FF610" s="94"/>
      <c r="FG610" s="94"/>
      <c r="FH610" s="94"/>
      <c r="FI610" s="94"/>
      <c r="FJ610" s="94"/>
      <c r="FK610" s="94"/>
      <c r="FL610" s="94"/>
      <c r="FM610" s="94"/>
      <c r="FN610" s="94"/>
      <c r="FO610" s="94"/>
      <c r="FP610" s="94"/>
      <c r="FQ610" s="94"/>
      <c r="FR610" s="94"/>
      <c r="FS610" s="94"/>
      <c r="FT610" s="94"/>
      <c r="FU610" s="94"/>
    </row>
    <row r="611" spans="1:177" s="364" customFormat="1" ht="21" customHeight="1" x14ac:dyDescent="0.2">
      <c r="B611" s="365">
        <v>1</v>
      </c>
      <c r="C611" s="376" t="s">
        <v>42</v>
      </c>
      <c r="D611" s="365">
        <v>12100</v>
      </c>
      <c r="E611" s="381" t="s">
        <v>819</v>
      </c>
      <c r="F611" s="409" t="s">
        <v>820</v>
      </c>
      <c r="G611" s="363">
        <v>45459</v>
      </c>
      <c r="H611" s="56" t="str">
        <f xml:space="preserve"> CONCATENATE(DATEDIF(G611,H$5,"Y")," AÑOS")</f>
        <v>0 AÑOS</v>
      </c>
      <c r="I611" s="57">
        <v>8681.9883171840011</v>
      </c>
      <c r="J611" s="58"/>
      <c r="K611" s="58"/>
      <c r="L611" s="59"/>
      <c r="M611" s="60">
        <v>4.0000000000000002E-4</v>
      </c>
      <c r="N611" s="61">
        <f>I611*0.04</f>
        <v>347.27953268736007</v>
      </c>
      <c r="O611" s="58">
        <f>I611+N611</f>
        <v>9029.2678498713612</v>
      </c>
      <c r="P611" s="61">
        <f>O611*2</f>
        <v>18058.535699742722</v>
      </c>
      <c r="Q611" s="61">
        <f>P611*0.75</f>
        <v>13543.901774807042</v>
      </c>
      <c r="R611" s="61">
        <f>P611*0.25</f>
        <v>4514.6339249356806</v>
      </c>
      <c r="S611" s="61">
        <f>(P611/30)</f>
        <v>601.95118999142403</v>
      </c>
      <c r="T611" s="58">
        <f>S611*1.1479</f>
        <v>690.97977099115565</v>
      </c>
      <c r="U611" s="61">
        <f>O611*0.75</f>
        <v>6771.9508874035209</v>
      </c>
      <c r="V611" s="58">
        <f>O611*0.25</f>
        <v>2257.3169624678403</v>
      </c>
      <c r="W611" s="62">
        <v>0</v>
      </c>
      <c r="X611" s="63">
        <f>P611*W611</f>
        <v>0</v>
      </c>
      <c r="Y611" s="61">
        <v>1306.7680940454218</v>
      </c>
      <c r="Z611" s="61">
        <v>0</v>
      </c>
      <c r="AA611" s="61">
        <f>(S611*45)/12</f>
        <v>2257.3169624678399</v>
      </c>
      <c r="AB611" s="61">
        <f>(S611*10)*(0.45*2)/12</f>
        <v>451.46339249356805</v>
      </c>
      <c r="AC611" s="61">
        <v>2761.6884164522667</v>
      </c>
      <c r="AD611" s="61">
        <v>1811.0925287563687</v>
      </c>
      <c r="AE611" s="61">
        <v>1071.0186450362914</v>
      </c>
      <c r="AF611" s="61">
        <v>0</v>
      </c>
      <c r="AG611" s="61">
        <f>(P611+AA611+AB611)*0.03</f>
        <v>623.019481641124</v>
      </c>
      <c r="AH611" s="64"/>
      <c r="AI611" s="64"/>
      <c r="AJ611" s="365">
        <v>1</v>
      </c>
      <c r="AK611" s="376" t="s">
        <v>42</v>
      </c>
      <c r="AL611" s="365">
        <v>12100</v>
      </c>
      <c r="AM611" s="381" t="s">
        <v>819</v>
      </c>
      <c r="AN611" s="409" t="s">
        <v>820</v>
      </c>
      <c r="AO611" s="368">
        <f t="shared" ref="AO611:AP611" si="768">Q611*3</f>
        <v>40631.705324421127</v>
      </c>
      <c r="AP611" s="368">
        <f t="shared" si="768"/>
        <v>13543.901774807042</v>
      </c>
      <c r="AQ611" s="368">
        <f t="shared" ref="AQ611:AZ611" si="769">X611*3</f>
        <v>0</v>
      </c>
      <c r="AR611" s="368">
        <f t="shared" si="769"/>
        <v>3920.3042821362651</v>
      </c>
      <c r="AS611" s="368">
        <f t="shared" si="769"/>
        <v>0</v>
      </c>
      <c r="AT611" s="368">
        <f t="shared" si="769"/>
        <v>6771.95088740352</v>
      </c>
      <c r="AU611" s="368">
        <f t="shared" si="769"/>
        <v>1354.3901774807041</v>
      </c>
      <c r="AV611" s="368">
        <f t="shared" si="769"/>
        <v>8285.0652493567995</v>
      </c>
      <c r="AW611" s="368">
        <f t="shared" si="769"/>
        <v>5433.277586269106</v>
      </c>
      <c r="AX611" s="368">
        <f t="shared" si="769"/>
        <v>3213.0559351088741</v>
      </c>
      <c r="AY611" s="368">
        <f t="shared" si="769"/>
        <v>0</v>
      </c>
      <c r="AZ611" s="368">
        <f t="shared" si="769"/>
        <v>1869.058444923372</v>
      </c>
      <c r="BB611" s="64"/>
      <c r="BC611" s="66"/>
      <c r="BD611" s="66"/>
      <c r="BE611" s="66"/>
    </row>
    <row r="612" spans="1:177" s="102" customFormat="1" ht="21" customHeight="1" x14ac:dyDescent="0.2">
      <c r="A612" s="50"/>
      <c r="B612" s="67">
        <v>2</v>
      </c>
      <c r="C612" s="73" t="s">
        <v>42</v>
      </c>
      <c r="D612" s="51">
        <v>14086</v>
      </c>
      <c r="E612" s="72" t="s">
        <v>821</v>
      </c>
      <c r="F612" s="269" t="s">
        <v>822</v>
      </c>
      <c r="G612" s="155">
        <v>43383</v>
      </c>
      <c r="H612" s="56" t="str">
        <f xml:space="preserve"> CONCATENATE(DATEDIF(G612,H$5,"Y")," AÑOS")</f>
        <v>6 AÑOS</v>
      </c>
      <c r="I612" s="57">
        <v>13462.217811941564</v>
      </c>
      <c r="J612" s="58"/>
      <c r="K612" s="58"/>
      <c r="L612" s="59"/>
      <c r="M612" s="60">
        <v>4.0000000000000002E-4</v>
      </c>
      <c r="N612" s="61">
        <f>I612*0.04</f>
        <v>538.4887124776626</v>
      </c>
      <c r="O612" s="58">
        <f>I612+N612</f>
        <v>14000.706524419227</v>
      </c>
      <c r="P612" s="61">
        <f>O612*2</f>
        <v>28001.413048838454</v>
      </c>
      <c r="Q612" s="61">
        <f>P612*0.75</f>
        <v>21001.059786628841</v>
      </c>
      <c r="R612" s="61">
        <f>P612*0.25</f>
        <v>7000.3532622096136</v>
      </c>
      <c r="S612" s="61">
        <f>(P612/30)</f>
        <v>933.38043496128182</v>
      </c>
      <c r="T612" s="58">
        <f>S612*1.1479</f>
        <v>1071.4274012920553</v>
      </c>
      <c r="U612" s="61">
        <f>O612*0.75</f>
        <v>10500.52989331442</v>
      </c>
      <c r="V612" s="58">
        <f>O612*0.25</f>
        <v>3500.1766311048068</v>
      </c>
      <c r="W612" s="62">
        <v>0</v>
      </c>
      <c r="X612" s="63">
        <f>P612*W612</f>
        <v>0</v>
      </c>
      <c r="Y612" s="61">
        <v>2839.7024184239208</v>
      </c>
      <c r="Z612" s="61">
        <v>0</v>
      </c>
      <c r="AA612" s="61">
        <f>(S612*45)/12</f>
        <v>3500.1766311048068</v>
      </c>
      <c r="AB612" s="61">
        <f>(S612*10)*(0.45*2)/12</f>
        <v>700.03532622096134</v>
      </c>
      <c r="AC612" s="61">
        <v>3980.3060419178219</v>
      </c>
      <c r="AD612" s="61">
        <v>2808.2647901565415</v>
      </c>
      <c r="AE612" s="61">
        <v>1660.7124720026857</v>
      </c>
      <c r="AF612" s="61">
        <v>0</v>
      </c>
      <c r="AG612" s="61">
        <f>(P612+AA612+AB612)*0.03</f>
        <v>966.04875018492658</v>
      </c>
      <c r="AH612" s="64"/>
      <c r="AI612" s="64"/>
      <c r="AJ612" s="67">
        <v>2</v>
      </c>
      <c r="AK612" s="73" t="s">
        <v>42</v>
      </c>
      <c r="AL612" s="51">
        <v>14086</v>
      </c>
      <c r="AM612" s="72" t="s">
        <v>821</v>
      </c>
      <c r="AN612" s="269" t="s">
        <v>822</v>
      </c>
      <c r="AO612" s="65">
        <f>Q612*12</f>
        <v>252012.71743954608</v>
      </c>
      <c r="AP612" s="65">
        <f>R612*12</f>
        <v>84004.239146515363</v>
      </c>
      <c r="AQ612" s="65">
        <f t="shared" ref="AQ612:AZ613" si="770">X612*12</f>
        <v>0</v>
      </c>
      <c r="AR612" s="65">
        <f t="shared" si="770"/>
        <v>34076.429021087053</v>
      </c>
      <c r="AS612" s="65">
        <f t="shared" si="770"/>
        <v>0</v>
      </c>
      <c r="AT612" s="65">
        <f t="shared" si="770"/>
        <v>42002.119573257682</v>
      </c>
      <c r="AU612" s="65">
        <f t="shared" si="770"/>
        <v>8400.4239146515356</v>
      </c>
      <c r="AV612" s="65">
        <f t="shared" si="770"/>
        <v>47763.672503013862</v>
      </c>
      <c r="AW612" s="65">
        <f t="shared" si="770"/>
        <v>33699.177481878498</v>
      </c>
      <c r="AX612" s="65">
        <f t="shared" si="770"/>
        <v>19928.549664032227</v>
      </c>
      <c r="AY612" s="65">
        <f t="shared" si="770"/>
        <v>0</v>
      </c>
      <c r="AZ612" s="65">
        <f t="shared" si="770"/>
        <v>11592.585002219119</v>
      </c>
      <c r="BA612" s="50"/>
      <c r="BB612" s="64"/>
      <c r="BC612" s="66"/>
      <c r="BD612" s="66"/>
      <c r="BE612" s="66"/>
      <c r="BF612" s="50"/>
      <c r="BG612" s="50"/>
      <c r="BH612" s="50"/>
      <c r="BI612" s="50"/>
      <c r="BJ612" s="50"/>
      <c r="BK612" s="50"/>
      <c r="BL612" s="50"/>
      <c r="BM612" s="50"/>
      <c r="BN612" s="50"/>
      <c r="BO612" s="50"/>
      <c r="BP612" s="50"/>
      <c r="BQ612" s="50"/>
      <c r="BR612" s="50"/>
      <c r="BS612" s="50"/>
      <c r="BT612" s="50"/>
      <c r="BU612" s="50"/>
      <c r="BV612" s="50"/>
      <c r="BW612" s="50"/>
      <c r="BX612" s="50"/>
      <c r="BY612" s="50"/>
      <c r="BZ612" s="50"/>
      <c r="CA612" s="50"/>
      <c r="CB612" s="50"/>
      <c r="CC612" s="50"/>
      <c r="CD612" s="50"/>
      <c r="CE612" s="50"/>
      <c r="CF612" s="50"/>
      <c r="CG612" s="50"/>
      <c r="CH612" s="50"/>
      <c r="CI612" s="50"/>
      <c r="CJ612" s="50"/>
      <c r="CK612" s="50"/>
      <c r="CL612" s="50"/>
      <c r="CM612" s="50"/>
      <c r="CN612" s="50"/>
      <c r="CO612" s="50"/>
      <c r="CP612" s="50"/>
      <c r="CQ612" s="50"/>
      <c r="CR612" s="50"/>
      <c r="CS612" s="50"/>
      <c r="CT612" s="50"/>
      <c r="CU612" s="50"/>
      <c r="CV612" s="50"/>
      <c r="CW612" s="50"/>
      <c r="CX612" s="50"/>
      <c r="CY612" s="50"/>
      <c r="CZ612" s="50"/>
      <c r="DA612" s="50"/>
      <c r="DB612" s="50"/>
      <c r="DC612" s="50"/>
      <c r="DD612" s="50"/>
      <c r="DE612" s="50"/>
      <c r="DF612" s="50"/>
      <c r="DG612" s="50"/>
      <c r="DH612" s="50"/>
      <c r="DI612" s="50"/>
      <c r="DJ612" s="50"/>
      <c r="DK612" s="50"/>
      <c r="DL612" s="50"/>
      <c r="DM612" s="50"/>
      <c r="DN612" s="50"/>
      <c r="DO612" s="50"/>
      <c r="DP612" s="50"/>
      <c r="DQ612" s="50"/>
      <c r="DR612" s="50"/>
      <c r="DS612" s="50"/>
      <c r="DT612" s="50"/>
      <c r="DU612" s="50"/>
      <c r="DV612" s="50"/>
      <c r="DW612" s="50"/>
      <c r="DX612" s="50"/>
      <c r="DY612" s="50"/>
      <c r="DZ612" s="50"/>
      <c r="EA612" s="50"/>
      <c r="EB612" s="50"/>
      <c r="EC612" s="50"/>
      <c r="ED612" s="50"/>
      <c r="EE612" s="50"/>
      <c r="EF612" s="50"/>
      <c r="EG612" s="50"/>
      <c r="EH612" s="50"/>
      <c r="EI612" s="50"/>
      <c r="EJ612" s="50"/>
      <c r="EK612" s="50"/>
      <c r="EL612" s="50"/>
      <c r="EM612" s="50"/>
      <c r="EN612" s="50"/>
      <c r="EO612" s="50"/>
      <c r="EP612" s="50"/>
      <c r="EQ612" s="50"/>
      <c r="ER612" s="50"/>
      <c r="ES612" s="50"/>
      <c r="ET612" s="50"/>
      <c r="EU612" s="50"/>
      <c r="EV612" s="50"/>
      <c r="EW612" s="50"/>
      <c r="EX612" s="50"/>
      <c r="EY612" s="50"/>
      <c r="EZ612" s="50"/>
      <c r="FA612" s="50"/>
      <c r="FB612" s="50"/>
      <c r="FC612" s="50"/>
      <c r="FD612" s="50"/>
      <c r="FE612" s="50"/>
      <c r="FF612" s="50"/>
      <c r="FG612" s="50"/>
      <c r="FH612" s="50"/>
      <c r="FI612" s="50"/>
      <c r="FJ612" s="50"/>
      <c r="FK612" s="50"/>
      <c r="FL612" s="50"/>
      <c r="FM612" s="50"/>
      <c r="FN612" s="50"/>
      <c r="FO612" s="50"/>
      <c r="FP612" s="50"/>
      <c r="FQ612" s="50"/>
      <c r="FR612" s="50"/>
      <c r="FS612" s="50"/>
      <c r="FT612" s="50"/>
      <c r="FU612" s="50"/>
    </row>
    <row r="613" spans="1:177" ht="21" customHeight="1" x14ac:dyDescent="0.2">
      <c r="B613" s="51">
        <v>3</v>
      </c>
      <c r="C613" s="77" t="s">
        <v>42</v>
      </c>
      <c r="D613" s="51">
        <v>14101</v>
      </c>
      <c r="E613" s="73" t="s">
        <v>823</v>
      </c>
      <c r="F613" s="53" t="s">
        <v>824</v>
      </c>
      <c r="G613" s="155">
        <v>44714</v>
      </c>
      <c r="H613" s="56" t="str">
        <f xml:space="preserve"> CONCATENATE(DATEDIF(G613,H$5,"Y")," AÑOS")</f>
        <v>2 AÑOS</v>
      </c>
      <c r="I613" s="75">
        <v>7086.6390000000001</v>
      </c>
      <c r="J613" s="75"/>
      <c r="K613" s="75"/>
      <c r="L613" s="137"/>
      <c r="M613" s="60">
        <v>4.0000000000000002E-4</v>
      </c>
      <c r="N613" s="61">
        <f>I613*0.04</f>
        <v>283.46556000000004</v>
      </c>
      <c r="O613" s="58">
        <f>I613+N613</f>
        <v>7370.1045599999998</v>
      </c>
      <c r="P613" s="61">
        <f>O613*2</f>
        <v>14740.20912</v>
      </c>
      <c r="Q613" s="61">
        <f>P613*0.75</f>
        <v>11055.15684</v>
      </c>
      <c r="R613" s="61">
        <f>P613*0.25</f>
        <v>3685.0522799999999</v>
      </c>
      <c r="S613" s="61">
        <f>(P613/30)</f>
        <v>491.340304</v>
      </c>
      <c r="T613" s="58">
        <f>S613*1.1479</f>
        <v>564.00953496159991</v>
      </c>
      <c r="U613" s="61">
        <f>O613*0.75</f>
        <v>5527.5784199999998</v>
      </c>
      <c r="V613" s="58">
        <f>O613*0.25</f>
        <v>1842.5261399999999</v>
      </c>
      <c r="W613" s="62">
        <v>0</v>
      </c>
      <c r="X613" s="63">
        <f>P613*W613</f>
        <v>0</v>
      </c>
      <c r="Y613" s="61">
        <v>893.78189439999983</v>
      </c>
      <c r="Z613" s="61">
        <v>0</v>
      </c>
      <c r="AA613" s="61">
        <f>(S613*45)/12</f>
        <v>1842.5261399999999</v>
      </c>
      <c r="AB613" s="61">
        <f>(S613*10)*(0.45*2)/12</f>
        <v>368.50522799999999</v>
      </c>
      <c r="AC613" s="61">
        <v>2354.9881107813853</v>
      </c>
      <c r="AD613" s="61">
        <v>1478.2971916111017</v>
      </c>
      <c r="AE613" s="61">
        <v>874.21477919047993</v>
      </c>
      <c r="AF613" s="61">
        <v>0</v>
      </c>
      <c r="AG613" s="61">
        <f>(P613+AA613+AB613)*0.03</f>
        <v>508.53721464000006</v>
      </c>
      <c r="AH613" s="64"/>
      <c r="AI613" s="64"/>
      <c r="AJ613" s="51">
        <v>3</v>
      </c>
      <c r="AK613" s="77" t="s">
        <v>42</v>
      </c>
      <c r="AL613" s="51">
        <v>14101</v>
      </c>
      <c r="AM613" s="73" t="s">
        <v>823</v>
      </c>
      <c r="AN613" s="53" t="s">
        <v>824</v>
      </c>
      <c r="AO613" s="138">
        <f>Q613*12</f>
        <v>132661.88208000001</v>
      </c>
      <c r="AP613" s="65">
        <f>R613*12</f>
        <v>44220.627359999999</v>
      </c>
      <c r="AQ613" s="65">
        <f t="shared" si="770"/>
        <v>0</v>
      </c>
      <c r="AR613" s="65">
        <f t="shared" si="770"/>
        <v>10725.382732799997</v>
      </c>
      <c r="AS613" s="65">
        <f t="shared" si="770"/>
        <v>0</v>
      </c>
      <c r="AT613" s="65">
        <f t="shared" si="770"/>
        <v>22110.313679999999</v>
      </c>
      <c r="AU613" s="65">
        <f t="shared" si="770"/>
        <v>4422.0627359999999</v>
      </c>
      <c r="AV613" s="65">
        <f t="shared" si="770"/>
        <v>28259.857329376624</v>
      </c>
      <c r="AW613" s="65">
        <f t="shared" si="770"/>
        <v>17739.566299333219</v>
      </c>
      <c r="AX613" s="65">
        <f t="shared" si="770"/>
        <v>10490.577350285759</v>
      </c>
      <c r="AY613" s="65">
        <f t="shared" si="770"/>
        <v>0</v>
      </c>
      <c r="AZ613" s="65">
        <f t="shared" si="770"/>
        <v>6102.4465756800009</v>
      </c>
      <c r="BB613" s="64"/>
      <c r="BC613" s="66"/>
      <c r="BD613" s="66"/>
      <c r="BE613" s="66"/>
    </row>
    <row r="614" spans="1:177" s="96" customFormat="1" ht="21" customHeight="1" x14ac:dyDescent="0.2">
      <c r="A614" s="50"/>
      <c r="B614" s="468" t="s">
        <v>65</v>
      </c>
      <c r="C614" s="469"/>
      <c r="D614" s="469"/>
      <c r="E614" s="469"/>
      <c r="F614" s="470"/>
      <c r="G614" s="90"/>
      <c r="H614" s="244"/>
      <c r="I614" s="91">
        <f t="shared" ref="I614:O614" si="771">SUM(I612:M613)</f>
        <v>20548.857611941567</v>
      </c>
      <c r="J614" s="91">
        <f t="shared" si="771"/>
        <v>821.95507247766272</v>
      </c>
      <c r="K614" s="91">
        <f t="shared" si="771"/>
        <v>22192.766156896891</v>
      </c>
      <c r="L614" s="91">
        <f t="shared" si="771"/>
        <v>64934.388325735337</v>
      </c>
      <c r="M614" s="91">
        <f t="shared" si="771"/>
        <v>96990.60495236417</v>
      </c>
      <c r="N614" s="91">
        <f t="shared" si="771"/>
        <v>107676.00969457379</v>
      </c>
      <c r="O614" s="91">
        <f t="shared" si="771"/>
        <v>108278.77616105739</v>
      </c>
      <c r="P614" s="91">
        <f>SUM(P611:P613)</f>
        <v>60800.157868581176</v>
      </c>
      <c r="Q614" s="91">
        <f t="shared" ref="Q614:AG614" si="772">SUM(Q611:Q613)</f>
        <v>45600.118401435888</v>
      </c>
      <c r="R614" s="91">
        <f t="shared" si="772"/>
        <v>15200.039467145294</v>
      </c>
      <c r="S614" s="91">
        <f t="shared" si="772"/>
        <v>2026.6719289527059</v>
      </c>
      <c r="T614" s="91">
        <f t="shared" si="772"/>
        <v>2326.4167072448108</v>
      </c>
      <c r="U614" s="91">
        <f t="shared" si="772"/>
        <v>22800.059200717944</v>
      </c>
      <c r="V614" s="91">
        <f t="shared" si="772"/>
        <v>7600.0197335726471</v>
      </c>
      <c r="W614" s="91">
        <f t="shared" si="772"/>
        <v>0</v>
      </c>
      <c r="X614" s="91">
        <f t="shared" si="772"/>
        <v>0</v>
      </c>
      <c r="Y614" s="91">
        <f t="shared" si="772"/>
        <v>5040.2524068693428</v>
      </c>
      <c r="Z614" s="91">
        <f t="shared" si="772"/>
        <v>0</v>
      </c>
      <c r="AA614" s="91">
        <f t="shared" si="772"/>
        <v>7600.0197335726461</v>
      </c>
      <c r="AB614" s="91">
        <f t="shared" si="772"/>
        <v>1520.0039467145293</v>
      </c>
      <c r="AC614" s="91">
        <f t="shared" si="772"/>
        <v>9096.9825691514743</v>
      </c>
      <c r="AD614" s="91">
        <f t="shared" si="772"/>
        <v>6097.654510524012</v>
      </c>
      <c r="AE614" s="91">
        <f t="shared" si="772"/>
        <v>3605.945896229457</v>
      </c>
      <c r="AF614" s="91">
        <f t="shared" si="772"/>
        <v>0</v>
      </c>
      <c r="AG614" s="91">
        <f t="shared" si="772"/>
        <v>2097.6054464660506</v>
      </c>
      <c r="AH614" s="92"/>
      <c r="AI614" s="92"/>
      <c r="AJ614" s="468" t="s">
        <v>65</v>
      </c>
      <c r="AK614" s="469"/>
      <c r="AL614" s="469"/>
      <c r="AM614" s="469"/>
      <c r="AN614" s="470"/>
      <c r="AO614" s="144">
        <f>SUM(AO611:AO613)</f>
        <v>425306.3048439672</v>
      </c>
      <c r="AP614" s="144">
        <f t="shared" ref="AP614:AZ614" si="773">SUM(AP611:AP613)</f>
        <v>141768.76828132241</v>
      </c>
      <c r="AQ614" s="144">
        <f t="shared" si="773"/>
        <v>0</v>
      </c>
      <c r="AR614" s="144">
        <f t="shared" si="773"/>
        <v>48722.116036023312</v>
      </c>
      <c r="AS614" s="144">
        <f t="shared" si="773"/>
        <v>0</v>
      </c>
      <c r="AT614" s="144">
        <f t="shared" si="773"/>
        <v>70884.38414066119</v>
      </c>
      <c r="AU614" s="144">
        <f t="shared" si="773"/>
        <v>14176.876828132239</v>
      </c>
      <c r="AV614" s="144">
        <f t="shared" si="773"/>
        <v>84308.595081747277</v>
      </c>
      <c r="AW614" s="144">
        <f t="shared" si="773"/>
        <v>56872.021367480818</v>
      </c>
      <c r="AX614" s="144">
        <f t="shared" si="773"/>
        <v>33632.18294942686</v>
      </c>
      <c r="AY614" s="144">
        <f t="shared" si="773"/>
        <v>0</v>
      </c>
      <c r="AZ614" s="144">
        <f t="shared" si="773"/>
        <v>19564.090022822493</v>
      </c>
      <c r="BA614" s="94"/>
      <c r="BB614" s="92"/>
      <c r="BC614" s="95"/>
      <c r="BD614" s="95"/>
      <c r="BE614" s="95"/>
      <c r="BF614" s="50"/>
      <c r="BG614" s="50"/>
      <c r="BH614" s="50"/>
      <c r="BI614" s="50"/>
      <c r="BJ614" s="50"/>
      <c r="BK614" s="50"/>
      <c r="BL614" s="50"/>
      <c r="BM614" s="50"/>
      <c r="BN614" s="50"/>
      <c r="BO614" s="50"/>
      <c r="BP614" s="50"/>
      <c r="BQ614" s="50"/>
      <c r="BR614" s="50"/>
      <c r="BS614" s="50"/>
      <c r="BT614" s="50"/>
      <c r="BU614" s="50"/>
      <c r="BV614" s="50"/>
      <c r="BW614" s="50"/>
      <c r="BX614" s="50"/>
      <c r="BY614" s="50"/>
      <c r="BZ614" s="50"/>
      <c r="CA614" s="50"/>
      <c r="CB614" s="50"/>
      <c r="CC614" s="50"/>
      <c r="CD614" s="50"/>
      <c r="CE614" s="50"/>
      <c r="CF614" s="50"/>
      <c r="CG614" s="50"/>
      <c r="CH614" s="50"/>
      <c r="CI614" s="50"/>
      <c r="CJ614" s="50"/>
      <c r="CK614" s="50"/>
      <c r="CL614" s="50"/>
      <c r="CM614" s="50"/>
      <c r="CN614" s="50"/>
      <c r="CO614" s="50"/>
      <c r="CP614" s="50"/>
      <c r="CQ614" s="50"/>
      <c r="CR614" s="50"/>
      <c r="CS614" s="50"/>
      <c r="CT614" s="50"/>
      <c r="CU614" s="50"/>
      <c r="CV614" s="50"/>
      <c r="CW614" s="50"/>
      <c r="CX614" s="50"/>
      <c r="CY614" s="50"/>
      <c r="CZ614" s="50"/>
      <c r="DA614" s="50"/>
      <c r="DB614" s="50"/>
      <c r="DC614" s="50"/>
      <c r="DD614" s="50"/>
      <c r="DE614" s="50"/>
      <c r="DF614" s="50"/>
      <c r="DG614" s="50"/>
      <c r="DH614" s="50"/>
      <c r="DI614" s="50"/>
      <c r="DJ614" s="50"/>
      <c r="DK614" s="50"/>
      <c r="DL614" s="50"/>
      <c r="DM614" s="50"/>
      <c r="DN614" s="50"/>
      <c r="DO614" s="50"/>
      <c r="DP614" s="50"/>
      <c r="DQ614" s="50"/>
      <c r="DR614" s="50"/>
      <c r="DS614" s="50"/>
      <c r="DT614" s="50"/>
      <c r="DU614" s="50"/>
      <c r="DV614" s="50"/>
      <c r="DW614" s="50"/>
      <c r="DX614" s="50"/>
      <c r="DY614" s="50"/>
      <c r="DZ614" s="50"/>
      <c r="EA614" s="50"/>
      <c r="EB614" s="50"/>
      <c r="EC614" s="50"/>
      <c r="ED614" s="50"/>
      <c r="EE614" s="50"/>
      <c r="EF614" s="50"/>
      <c r="EG614" s="50"/>
      <c r="EH614" s="50"/>
      <c r="EI614" s="50"/>
      <c r="EJ614" s="50"/>
      <c r="EK614" s="50"/>
      <c r="EL614" s="50"/>
      <c r="EM614" s="50"/>
      <c r="EN614" s="50"/>
      <c r="EO614" s="50"/>
      <c r="EP614" s="50"/>
      <c r="EQ614" s="50"/>
      <c r="ER614" s="50"/>
      <c r="ES614" s="50"/>
      <c r="ET614" s="50"/>
      <c r="EU614" s="50"/>
      <c r="EV614" s="50"/>
      <c r="EW614" s="50"/>
      <c r="EX614" s="50"/>
      <c r="EY614" s="50"/>
      <c r="EZ614" s="50"/>
      <c r="FA614" s="50"/>
      <c r="FB614" s="50"/>
      <c r="FC614" s="50"/>
      <c r="FD614" s="50"/>
      <c r="FE614" s="50"/>
      <c r="FF614" s="50"/>
      <c r="FG614" s="50"/>
      <c r="FH614" s="50"/>
      <c r="FI614" s="50"/>
      <c r="FJ614" s="50"/>
      <c r="FK614" s="50"/>
      <c r="FL614" s="50"/>
      <c r="FM614" s="50"/>
      <c r="FN614" s="50"/>
      <c r="FO614" s="50"/>
      <c r="FP614" s="50"/>
      <c r="FQ614" s="50"/>
      <c r="FR614" s="50"/>
      <c r="FS614" s="50"/>
      <c r="FT614" s="50"/>
      <c r="FU614" s="50"/>
    </row>
    <row r="615" spans="1:177" ht="21" customHeight="1" x14ac:dyDescent="0.2">
      <c r="B615" s="67">
        <v>4</v>
      </c>
      <c r="C615" s="73" t="s">
        <v>66</v>
      </c>
      <c r="D615" s="67">
        <v>14106</v>
      </c>
      <c r="E615" s="73" t="s">
        <v>825</v>
      </c>
      <c r="F615" s="72" t="s">
        <v>826</v>
      </c>
      <c r="G615" s="123">
        <v>45459</v>
      </c>
      <c r="H615" s="56" t="str">
        <f xml:space="preserve"> CONCATENATE(DATEDIF(G615,H$5,"Y")," AÑOS")</f>
        <v>0 AÑOS</v>
      </c>
      <c r="I615" s="57">
        <v>6473.7189041991969</v>
      </c>
      <c r="J615" s="58"/>
      <c r="K615" s="58"/>
      <c r="L615" s="59"/>
      <c r="M615" s="60">
        <v>4.0000000000000002E-4</v>
      </c>
      <c r="N615" s="61">
        <f>I615*0.04</f>
        <v>258.94875616796787</v>
      </c>
      <c r="O615" s="58">
        <f>I615+N615</f>
        <v>6732.6676603671649</v>
      </c>
      <c r="P615" s="61">
        <f>O615*2</f>
        <v>13465.33532073433</v>
      </c>
      <c r="Q615" s="61">
        <f>P615*0.75</f>
        <v>10099.001490550747</v>
      </c>
      <c r="R615" s="61">
        <f>P615*0.25</f>
        <v>3366.3338301835824</v>
      </c>
      <c r="S615" s="61">
        <f>(P615/30)</f>
        <v>448.84451069114431</v>
      </c>
      <c r="T615" s="58">
        <f>S615*1.1479</f>
        <v>515.22861382236454</v>
      </c>
      <c r="U615" s="61">
        <f>O615*0.75</f>
        <v>5049.5007452753734</v>
      </c>
      <c r="V615" s="58">
        <f>O615*0.25</f>
        <v>1683.1669150917912</v>
      </c>
      <c r="W615" s="101">
        <v>0.05</v>
      </c>
      <c r="X615" s="63">
        <f>P615*W615</f>
        <v>673.26676603671649</v>
      </c>
      <c r="Y615" s="61">
        <v>785.81062617192117</v>
      </c>
      <c r="Z615" s="61">
        <v>0</v>
      </c>
      <c r="AA615" s="61">
        <f>(S615*45)/12</f>
        <v>1683.1669150917912</v>
      </c>
      <c r="AB615" s="61">
        <f>(S615*10)*(0.45*2)/12</f>
        <v>336.63338301835824</v>
      </c>
      <c r="AC615" s="61">
        <v>2198.7371959322072</v>
      </c>
      <c r="AD615" s="61">
        <v>1350.4399582591086</v>
      </c>
      <c r="AE615" s="61">
        <v>798.60435142466508</v>
      </c>
      <c r="AF615" s="61">
        <v>0</v>
      </c>
      <c r="AG615" s="61">
        <f>(P615+AA615+AB615)*0.03</f>
        <v>464.55406856533432</v>
      </c>
      <c r="AH615" s="64"/>
      <c r="AI615" s="64"/>
      <c r="AJ615" s="67">
        <v>4</v>
      </c>
      <c r="AK615" s="73" t="s">
        <v>66</v>
      </c>
      <c r="AL615" s="67">
        <v>14106</v>
      </c>
      <c r="AM615" s="73" t="s">
        <v>825</v>
      </c>
      <c r="AN615" s="72" t="s">
        <v>826</v>
      </c>
      <c r="AO615" s="138">
        <f>Q615*12</f>
        <v>121188.01788660896</v>
      </c>
      <c r="AP615" s="65">
        <f>R615*12</f>
        <v>40396.005962202988</v>
      </c>
      <c r="AQ615" s="65">
        <f t="shared" ref="AQ615:AZ615" si="774">X615*12</f>
        <v>8079.2011924405979</v>
      </c>
      <c r="AR615" s="65">
        <f t="shared" si="774"/>
        <v>9429.7275140630536</v>
      </c>
      <c r="AS615" s="65">
        <f t="shared" si="774"/>
        <v>0</v>
      </c>
      <c r="AT615" s="65">
        <f t="shared" si="774"/>
        <v>20198.002981101494</v>
      </c>
      <c r="AU615" s="65">
        <f t="shared" si="774"/>
        <v>4039.6005962202989</v>
      </c>
      <c r="AV615" s="65">
        <f t="shared" si="774"/>
        <v>26384.846351186487</v>
      </c>
      <c r="AW615" s="65">
        <f t="shared" si="774"/>
        <v>16205.279499109303</v>
      </c>
      <c r="AX615" s="65">
        <f t="shared" si="774"/>
        <v>9583.2522170959819</v>
      </c>
      <c r="AY615" s="65">
        <f t="shared" si="774"/>
        <v>0</v>
      </c>
      <c r="AZ615" s="65">
        <f t="shared" si="774"/>
        <v>5574.6488227840118</v>
      </c>
      <c r="BB615" s="64"/>
      <c r="BC615" s="66"/>
      <c r="BD615" s="66"/>
      <c r="BE615" s="66"/>
    </row>
    <row r="616" spans="1:177" s="364" customFormat="1" ht="21" customHeight="1" x14ac:dyDescent="0.2">
      <c r="B616" s="365">
        <v>5</v>
      </c>
      <c r="C616" s="372" t="s">
        <v>66</v>
      </c>
      <c r="D616" s="365">
        <v>20015</v>
      </c>
      <c r="E616" s="69" t="s">
        <v>827</v>
      </c>
      <c r="F616" s="421" t="s">
        <v>828</v>
      </c>
      <c r="G616" s="363">
        <v>43481</v>
      </c>
      <c r="H616" s="56" t="str">
        <f xml:space="preserve"> CONCATENATE(DATEDIF(G616,H$5,"Y")," AÑOS")</f>
        <v>5 AÑOS</v>
      </c>
      <c r="I616" s="57">
        <v>4913.311578509587</v>
      </c>
      <c r="J616" s="58">
        <v>5984.31</v>
      </c>
      <c r="K616" s="108">
        <f>J616-I616</f>
        <v>1070.9984214904134</v>
      </c>
      <c r="L616" s="173">
        <f>K616*100/I616</f>
        <v>21.797893424363128</v>
      </c>
      <c r="M616" s="60">
        <v>2.1800000000000001E-3</v>
      </c>
      <c r="N616" s="61">
        <f>I616*0.2179</f>
        <v>1070.6105929572391</v>
      </c>
      <c r="O616" s="58">
        <f>I616+N616</f>
        <v>5983.9221714668256</v>
      </c>
      <c r="P616" s="61">
        <f>O616*2</f>
        <v>11967.844342933651</v>
      </c>
      <c r="Q616" s="61">
        <f>P616*0.75</f>
        <v>8975.8832572002393</v>
      </c>
      <c r="R616" s="61">
        <f>P616*0.25</f>
        <v>2991.9610857334128</v>
      </c>
      <c r="S616" s="61">
        <f>(P616/30)</f>
        <v>398.92814476445506</v>
      </c>
      <c r="T616" s="58">
        <f>S616*1.1479</f>
        <v>457.92961737511791</v>
      </c>
      <c r="U616" s="61">
        <f>O616*0.75</f>
        <v>4487.9416286001197</v>
      </c>
      <c r="V616" s="58">
        <f>O616*0.25</f>
        <v>1495.9805428667064</v>
      </c>
      <c r="W616" s="101">
        <v>2.5000000000000001E-2</v>
      </c>
      <c r="X616" s="63">
        <f>P616*W616</f>
        <v>299.19610857334129</v>
      </c>
      <c r="Y616" s="61">
        <v>663.67865599999993</v>
      </c>
      <c r="Z616" s="61">
        <v>0</v>
      </c>
      <c r="AA616" s="61">
        <f>(S616*45)/12</f>
        <v>1495.9805428667066</v>
      </c>
      <c r="AB616" s="61">
        <f>(S616*10)*(0.45*2)/12</f>
        <v>299.19610857334129</v>
      </c>
      <c r="AC616" s="61">
        <v>2015.2019037373859</v>
      </c>
      <c r="AD616" s="61">
        <v>1200.2564236210528</v>
      </c>
      <c r="AE616" s="61">
        <v>709.7909069314328</v>
      </c>
      <c r="AF616" s="61">
        <v>0</v>
      </c>
      <c r="AG616" s="61">
        <f>(P616+AA616+AB616)*0.03</f>
        <v>412.89062983121096</v>
      </c>
      <c r="AH616" s="64"/>
      <c r="AI616" s="64"/>
      <c r="AJ616" s="365">
        <v>5</v>
      </c>
      <c r="AK616" s="372" t="s">
        <v>66</v>
      </c>
      <c r="AL616" s="365">
        <v>20015</v>
      </c>
      <c r="AM616" s="69" t="s">
        <v>827</v>
      </c>
      <c r="AN616" s="421" t="s">
        <v>828</v>
      </c>
      <c r="AO616" s="368">
        <f t="shared" ref="AO616:AP616" si="775">Q616*3</f>
        <v>26927.649771600718</v>
      </c>
      <c r="AP616" s="368">
        <f t="shared" si="775"/>
        <v>8975.8832572002393</v>
      </c>
      <c r="AQ616" s="368">
        <f t="shared" ref="AQ616:AZ616" si="776">X616*3</f>
        <v>897.58832572002393</v>
      </c>
      <c r="AR616" s="368">
        <f t="shared" si="776"/>
        <v>1991.0359679999997</v>
      </c>
      <c r="AS616" s="368">
        <f t="shared" si="776"/>
        <v>0</v>
      </c>
      <c r="AT616" s="368">
        <f t="shared" si="776"/>
        <v>4487.9416286001197</v>
      </c>
      <c r="AU616" s="368">
        <f t="shared" si="776"/>
        <v>897.58832572002393</v>
      </c>
      <c r="AV616" s="368">
        <f t="shared" si="776"/>
        <v>6045.605711212158</v>
      </c>
      <c r="AW616" s="368">
        <f t="shared" si="776"/>
        <v>3600.7692708631585</v>
      </c>
      <c r="AX616" s="368">
        <f t="shared" si="776"/>
        <v>2129.3727207942984</v>
      </c>
      <c r="AY616" s="368">
        <f t="shared" si="776"/>
        <v>0</v>
      </c>
      <c r="AZ616" s="368">
        <f t="shared" si="776"/>
        <v>1238.671889493633</v>
      </c>
      <c r="BB616" s="64"/>
      <c r="BC616" s="66"/>
      <c r="BD616" s="66"/>
      <c r="BE616" s="66"/>
    </row>
    <row r="617" spans="1:177" ht="21" customHeight="1" x14ac:dyDescent="0.2">
      <c r="B617" s="67">
        <v>6</v>
      </c>
      <c r="C617" s="270" t="s">
        <v>66</v>
      </c>
      <c r="D617" s="67">
        <v>9133</v>
      </c>
      <c r="E617" s="73" t="s">
        <v>829</v>
      </c>
      <c r="F617" s="192" t="s">
        <v>828</v>
      </c>
      <c r="G617" s="55">
        <v>44636</v>
      </c>
      <c r="H617" s="56" t="str">
        <f t="shared" ref="H617:H630" si="777" xml:space="preserve"> CONCATENATE(DATEDIF(G617,H$5,"Y")," AÑOS")</f>
        <v>2 AÑOS</v>
      </c>
      <c r="I617" s="57">
        <v>3588.3119999999999</v>
      </c>
      <c r="J617" s="58"/>
      <c r="K617" s="58"/>
      <c r="L617" s="59"/>
      <c r="M617" s="60">
        <v>4.0000000000000002E-4</v>
      </c>
      <c r="N617" s="61">
        <f t="shared" ref="N617:N629" si="778">I617*0.04</f>
        <v>143.53247999999999</v>
      </c>
      <c r="O617" s="58">
        <f t="shared" ref="O617:O630" si="779">I617+N617</f>
        <v>3731.8444799999997</v>
      </c>
      <c r="P617" s="61">
        <f t="shared" ref="P617:P630" si="780">O617*2</f>
        <v>7463.6889599999995</v>
      </c>
      <c r="Q617" s="61">
        <f t="shared" ref="Q617:Q630" si="781">P617*0.75</f>
        <v>5597.7667199999996</v>
      </c>
      <c r="R617" s="61">
        <f t="shared" ref="R617:R630" si="782">P617*0.25</f>
        <v>1865.9222399999999</v>
      </c>
      <c r="S617" s="61">
        <f t="shared" ref="S617:S630" si="783">(P617/30)</f>
        <v>248.78963199999998</v>
      </c>
      <c r="T617" s="58">
        <f t="shared" si="713"/>
        <v>285.58561857279994</v>
      </c>
      <c r="U617" s="61">
        <f t="shared" ref="U617:U630" si="784">O617*0.75</f>
        <v>2798.8833599999998</v>
      </c>
      <c r="V617" s="58">
        <f t="shared" ref="V617:V630" si="785">O617*0.25</f>
        <v>932.96111999999994</v>
      </c>
      <c r="W617" s="101">
        <v>0</v>
      </c>
      <c r="X617" s="63">
        <f t="shared" ref="X617:X630" si="786">P617*W617</f>
        <v>0</v>
      </c>
      <c r="Y617" s="61">
        <v>34.538990080000019</v>
      </c>
      <c r="Z617" s="61">
        <v>0</v>
      </c>
      <c r="AA617" s="61">
        <f t="shared" ref="AA617:AA630" si="787">(S617*45)/12</f>
        <v>932.96111999999994</v>
      </c>
      <c r="AB617" s="61">
        <f t="shared" ref="AB617:AB630" si="788">(S617*10)*(0.45*2)/12</f>
        <v>186.59222399999999</v>
      </c>
      <c r="AC617" s="61">
        <v>1485.5745916741473</v>
      </c>
      <c r="AD617" s="61">
        <v>683.02084465963696</v>
      </c>
      <c r="AE617" s="61">
        <v>442.65770878783991</v>
      </c>
      <c r="AF617" s="61">
        <v>0</v>
      </c>
      <c r="AG617" s="61">
        <f t="shared" ref="AG617:AG630" si="789">(P617+AA617+AB617)*0.03</f>
        <v>257.49726912</v>
      </c>
      <c r="AH617" s="64"/>
      <c r="AI617" s="64"/>
      <c r="AJ617" s="67">
        <v>6</v>
      </c>
      <c r="AK617" s="270" t="s">
        <v>66</v>
      </c>
      <c r="AL617" s="67">
        <v>9133</v>
      </c>
      <c r="AM617" s="73" t="s">
        <v>829</v>
      </c>
      <c r="AN617" s="192" t="s">
        <v>828</v>
      </c>
      <c r="AO617" s="65">
        <f>Q617*7</f>
        <v>39184.367039999997</v>
      </c>
      <c r="AP617" s="65">
        <f>R617*7</f>
        <v>13061.455679999999</v>
      </c>
      <c r="AQ617" s="65">
        <f t="shared" ref="AQ617:AZ617" si="790">X617*7</f>
        <v>0</v>
      </c>
      <c r="AR617" s="65">
        <f t="shared" si="790"/>
        <v>241.77293056000013</v>
      </c>
      <c r="AS617" s="65">
        <f t="shared" si="790"/>
        <v>0</v>
      </c>
      <c r="AT617" s="65">
        <f t="shared" si="790"/>
        <v>6530.7278399999996</v>
      </c>
      <c r="AU617" s="65">
        <f t="shared" si="790"/>
        <v>1306.1455679999999</v>
      </c>
      <c r="AV617" s="65">
        <f t="shared" si="790"/>
        <v>10399.022141719031</v>
      </c>
      <c r="AW617" s="65">
        <f t="shared" si="790"/>
        <v>4781.1459126174586</v>
      </c>
      <c r="AX617" s="65">
        <f t="shared" si="790"/>
        <v>3098.6039615148793</v>
      </c>
      <c r="AY617" s="65">
        <f t="shared" si="790"/>
        <v>0</v>
      </c>
      <c r="AZ617" s="65">
        <f t="shared" si="790"/>
        <v>1802.4808838399999</v>
      </c>
      <c r="BB617" s="64"/>
      <c r="BC617" s="66"/>
      <c r="BD617" s="66"/>
      <c r="BE617" s="66"/>
    </row>
    <row r="618" spans="1:177" ht="21" customHeight="1" x14ac:dyDescent="0.2">
      <c r="B618" s="67">
        <v>7</v>
      </c>
      <c r="C618" s="73" t="s">
        <v>66</v>
      </c>
      <c r="D618" s="127">
        <v>14104</v>
      </c>
      <c r="E618" s="73" t="s">
        <v>830</v>
      </c>
      <c r="F618" s="79" t="s">
        <v>831</v>
      </c>
      <c r="G618" s="157">
        <v>44942</v>
      </c>
      <c r="H618" s="56" t="str">
        <f t="shared" si="777"/>
        <v>1 AÑOS</v>
      </c>
      <c r="I618" s="57">
        <v>6473.7189041991969</v>
      </c>
      <c r="J618" s="58"/>
      <c r="K618" s="58"/>
      <c r="L618" s="59"/>
      <c r="M618" s="60">
        <v>4.0000000000000002E-4</v>
      </c>
      <c r="N618" s="61">
        <f t="shared" si="778"/>
        <v>258.94875616796787</v>
      </c>
      <c r="O618" s="58">
        <f t="shared" si="779"/>
        <v>6732.6676603671649</v>
      </c>
      <c r="P618" s="61">
        <f t="shared" si="780"/>
        <v>13465.33532073433</v>
      </c>
      <c r="Q618" s="61">
        <f t="shared" si="781"/>
        <v>10099.001490550747</v>
      </c>
      <c r="R618" s="61">
        <f t="shared" si="782"/>
        <v>3366.3338301835824</v>
      </c>
      <c r="S618" s="61">
        <f t="shared" si="783"/>
        <v>448.84451069114431</v>
      </c>
      <c r="T618" s="58">
        <f t="shared" si="713"/>
        <v>515.22861382236454</v>
      </c>
      <c r="U618" s="61">
        <f t="shared" si="784"/>
        <v>5049.5007452753734</v>
      </c>
      <c r="V618" s="58">
        <f t="shared" si="785"/>
        <v>1683.1669150917912</v>
      </c>
      <c r="W618" s="101">
        <v>0</v>
      </c>
      <c r="X618" s="63">
        <f t="shared" si="786"/>
        <v>0</v>
      </c>
      <c r="Y618" s="61">
        <v>785.81062617192117</v>
      </c>
      <c r="Z618" s="61">
        <v>0</v>
      </c>
      <c r="AA618" s="61">
        <f t="shared" si="787"/>
        <v>1683.1669150917912</v>
      </c>
      <c r="AB618" s="61">
        <f t="shared" si="788"/>
        <v>336.63338301835824</v>
      </c>
      <c r="AC618" s="61">
        <v>2198.7371959322072</v>
      </c>
      <c r="AD618" s="61">
        <v>1350.4399582591086</v>
      </c>
      <c r="AE618" s="61">
        <v>798.60435142466508</v>
      </c>
      <c r="AF618" s="61">
        <v>0</v>
      </c>
      <c r="AG618" s="61">
        <f t="shared" si="789"/>
        <v>464.55406856533432</v>
      </c>
      <c r="AH618" s="64"/>
      <c r="AI618" s="64"/>
      <c r="AJ618" s="67">
        <v>7</v>
      </c>
      <c r="AK618" s="73" t="s">
        <v>66</v>
      </c>
      <c r="AL618" s="127">
        <v>14104</v>
      </c>
      <c r="AM618" s="73" t="s">
        <v>830</v>
      </c>
      <c r="AN618" s="79" t="s">
        <v>831</v>
      </c>
      <c r="AO618" s="138">
        <f t="shared" ref="AO618:AP623" si="791">Q618*12</f>
        <v>121188.01788660896</v>
      </c>
      <c r="AP618" s="65">
        <f t="shared" si="791"/>
        <v>40396.005962202988</v>
      </c>
      <c r="AQ618" s="65">
        <f t="shared" ref="AQ618:AZ623" si="792">X618*12</f>
        <v>0</v>
      </c>
      <c r="AR618" s="65">
        <f t="shared" si="792"/>
        <v>9429.7275140630536</v>
      </c>
      <c r="AS618" s="65">
        <f t="shared" si="792"/>
        <v>0</v>
      </c>
      <c r="AT618" s="65">
        <f t="shared" si="792"/>
        <v>20198.002981101494</v>
      </c>
      <c r="AU618" s="65">
        <f t="shared" si="792"/>
        <v>4039.6005962202989</v>
      </c>
      <c r="AV618" s="65">
        <f t="shared" si="792"/>
        <v>26384.846351186487</v>
      </c>
      <c r="AW618" s="65">
        <f t="shared" si="792"/>
        <v>16205.279499109303</v>
      </c>
      <c r="AX618" s="65">
        <f t="shared" si="792"/>
        <v>9583.2522170959819</v>
      </c>
      <c r="AY618" s="65">
        <f t="shared" si="792"/>
        <v>0</v>
      </c>
      <c r="AZ618" s="65">
        <f t="shared" si="792"/>
        <v>5574.6488227840118</v>
      </c>
      <c r="BB618" s="64"/>
      <c r="BC618" s="66"/>
      <c r="BD618" s="66"/>
      <c r="BE618" s="66"/>
    </row>
    <row r="619" spans="1:177" ht="21" customHeight="1" x14ac:dyDescent="0.2">
      <c r="B619" s="67">
        <v>8</v>
      </c>
      <c r="C619" s="73" t="s">
        <v>66</v>
      </c>
      <c r="D619" s="67">
        <v>14091</v>
      </c>
      <c r="E619" s="73" t="s">
        <v>832</v>
      </c>
      <c r="F619" s="79" t="s">
        <v>833</v>
      </c>
      <c r="G619" s="178">
        <v>43543</v>
      </c>
      <c r="H619" s="56" t="str">
        <f t="shared" si="777"/>
        <v>5 AÑOS</v>
      </c>
      <c r="I619" s="57">
        <v>4455.556906997791</v>
      </c>
      <c r="J619" s="58"/>
      <c r="K619" s="58"/>
      <c r="L619" s="59"/>
      <c r="M619" s="60">
        <v>4.0000000000000002E-4</v>
      </c>
      <c r="N619" s="61">
        <f t="shared" si="778"/>
        <v>178.22227627991165</v>
      </c>
      <c r="O619" s="58">
        <f t="shared" si="779"/>
        <v>4633.7791832777029</v>
      </c>
      <c r="P619" s="61">
        <f t="shared" si="780"/>
        <v>9267.5583665554059</v>
      </c>
      <c r="Q619" s="61">
        <f t="shared" si="781"/>
        <v>6950.668774916554</v>
      </c>
      <c r="R619" s="61">
        <f t="shared" si="782"/>
        <v>2316.8895916388515</v>
      </c>
      <c r="S619" s="61">
        <f t="shared" si="783"/>
        <v>308.91861221851354</v>
      </c>
      <c r="T619" s="58">
        <f t="shared" si="713"/>
        <v>354.60767496563165</v>
      </c>
      <c r="U619" s="61">
        <f t="shared" si="784"/>
        <v>3475.334387458277</v>
      </c>
      <c r="V619" s="58">
        <f t="shared" si="785"/>
        <v>1158.4447958194257</v>
      </c>
      <c r="W619" s="101">
        <v>2.5000000000000001E-2</v>
      </c>
      <c r="X619" s="63">
        <f t="shared" si="786"/>
        <v>231.68895916388516</v>
      </c>
      <c r="Y619" s="61">
        <v>193.07202671092102</v>
      </c>
      <c r="Z619" s="61">
        <v>0</v>
      </c>
      <c r="AA619" s="61">
        <f t="shared" si="787"/>
        <v>1158.4447958194257</v>
      </c>
      <c r="AB619" s="61">
        <f t="shared" si="788"/>
        <v>231.68895916388519</v>
      </c>
      <c r="AC619" s="61">
        <v>1684.2498091798416</v>
      </c>
      <c r="AD619" s="61">
        <v>866.78527030224177</v>
      </c>
      <c r="AE619" s="61">
        <v>549.64189619672914</v>
      </c>
      <c r="AF619" s="61">
        <v>0</v>
      </c>
      <c r="AG619" s="61">
        <f t="shared" si="789"/>
        <v>319.73076364616145</v>
      </c>
      <c r="AH619" s="64"/>
      <c r="AI619" s="64"/>
      <c r="AJ619" s="67">
        <v>8</v>
      </c>
      <c r="AK619" s="73" t="s">
        <v>66</v>
      </c>
      <c r="AL619" s="67">
        <v>14091</v>
      </c>
      <c r="AM619" s="73" t="s">
        <v>832</v>
      </c>
      <c r="AN619" s="79" t="s">
        <v>833</v>
      </c>
      <c r="AO619" s="138">
        <f t="shared" si="791"/>
        <v>83408.025298998647</v>
      </c>
      <c r="AP619" s="65">
        <f t="shared" si="791"/>
        <v>27802.675099666216</v>
      </c>
      <c r="AQ619" s="65">
        <f t="shared" si="792"/>
        <v>2780.2675099666221</v>
      </c>
      <c r="AR619" s="65">
        <f t="shared" si="792"/>
        <v>2316.8643205310523</v>
      </c>
      <c r="AS619" s="65">
        <f t="shared" si="792"/>
        <v>0</v>
      </c>
      <c r="AT619" s="65">
        <f t="shared" si="792"/>
        <v>13901.337549833108</v>
      </c>
      <c r="AU619" s="65">
        <f t="shared" si="792"/>
        <v>2780.2675099666221</v>
      </c>
      <c r="AV619" s="65">
        <f t="shared" si="792"/>
        <v>20210.997710158099</v>
      </c>
      <c r="AW619" s="65">
        <f t="shared" si="792"/>
        <v>10401.423243626901</v>
      </c>
      <c r="AX619" s="65">
        <f t="shared" si="792"/>
        <v>6595.7027543607492</v>
      </c>
      <c r="AY619" s="65">
        <f t="shared" si="792"/>
        <v>0</v>
      </c>
      <c r="AZ619" s="65">
        <f t="shared" si="792"/>
        <v>3836.7691637539374</v>
      </c>
      <c r="BB619" s="64"/>
      <c r="BC619" s="66"/>
      <c r="BD619" s="66"/>
      <c r="BE619" s="66"/>
    </row>
    <row r="620" spans="1:177" ht="21" customHeight="1" x14ac:dyDescent="0.2">
      <c r="B620" s="67">
        <v>9</v>
      </c>
      <c r="C620" s="73" t="s">
        <v>66</v>
      </c>
      <c r="D620" s="67">
        <v>13126</v>
      </c>
      <c r="E620" s="72" t="s">
        <v>834</v>
      </c>
      <c r="F620" s="79" t="s">
        <v>833</v>
      </c>
      <c r="G620" s="123">
        <v>37935</v>
      </c>
      <c r="H620" s="56" t="str">
        <f t="shared" si="777"/>
        <v>21 AÑOS</v>
      </c>
      <c r="I620" s="57">
        <v>4455.556906997791</v>
      </c>
      <c r="J620" s="58"/>
      <c r="K620" s="58"/>
      <c r="L620" s="59"/>
      <c r="M620" s="60">
        <v>4.0000000000000002E-4</v>
      </c>
      <c r="N620" s="61">
        <f t="shared" si="778"/>
        <v>178.22227627991165</v>
      </c>
      <c r="O620" s="58">
        <f t="shared" si="779"/>
        <v>4633.7791832777029</v>
      </c>
      <c r="P620" s="61">
        <f t="shared" si="780"/>
        <v>9267.5583665554059</v>
      </c>
      <c r="Q620" s="61">
        <f t="shared" si="781"/>
        <v>6950.668774916554</v>
      </c>
      <c r="R620" s="61">
        <f t="shared" si="782"/>
        <v>2316.8895916388515</v>
      </c>
      <c r="S620" s="61">
        <f t="shared" si="783"/>
        <v>308.91861221851354</v>
      </c>
      <c r="T620" s="58">
        <f t="shared" si="713"/>
        <v>354.60767496563165</v>
      </c>
      <c r="U620" s="61">
        <f t="shared" si="784"/>
        <v>3475.334387458277</v>
      </c>
      <c r="V620" s="58">
        <f t="shared" si="785"/>
        <v>1158.4447958194257</v>
      </c>
      <c r="W620" s="101">
        <v>7.4999999999999997E-2</v>
      </c>
      <c r="X620" s="63">
        <f t="shared" si="786"/>
        <v>695.06687749165542</v>
      </c>
      <c r="Y620" s="61">
        <v>193.07202671092102</v>
      </c>
      <c r="Z620" s="61">
        <v>0</v>
      </c>
      <c r="AA620" s="61">
        <f t="shared" si="787"/>
        <v>1158.4447958194257</v>
      </c>
      <c r="AB620" s="61">
        <f t="shared" si="788"/>
        <v>231.68895916388519</v>
      </c>
      <c r="AC620" s="61">
        <v>1684.2498091798416</v>
      </c>
      <c r="AD620" s="61">
        <v>866.78527030224177</v>
      </c>
      <c r="AE620" s="61">
        <v>549.64189619672914</v>
      </c>
      <c r="AF620" s="61">
        <v>0</v>
      </c>
      <c r="AG620" s="61">
        <f t="shared" si="789"/>
        <v>319.73076364616145</v>
      </c>
      <c r="AH620" s="64"/>
      <c r="AI620" s="64"/>
      <c r="AJ620" s="67">
        <v>9</v>
      </c>
      <c r="AK620" s="73" t="s">
        <v>66</v>
      </c>
      <c r="AL620" s="67">
        <v>13126</v>
      </c>
      <c r="AM620" s="72" t="s">
        <v>834</v>
      </c>
      <c r="AN620" s="79" t="s">
        <v>833</v>
      </c>
      <c r="AO620" s="138">
        <f t="shared" si="791"/>
        <v>83408.025298998647</v>
      </c>
      <c r="AP620" s="65">
        <f t="shared" si="791"/>
        <v>27802.675099666216</v>
      </c>
      <c r="AQ620" s="65">
        <f t="shared" si="792"/>
        <v>8340.8025298998655</v>
      </c>
      <c r="AR620" s="65">
        <f t="shared" si="792"/>
        <v>2316.8643205310523</v>
      </c>
      <c r="AS620" s="65">
        <f t="shared" si="792"/>
        <v>0</v>
      </c>
      <c r="AT620" s="65">
        <f t="shared" si="792"/>
        <v>13901.337549833108</v>
      </c>
      <c r="AU620" s="65">
        <f t="shared" si="792"/>
        <v>2780.2675099666221</v>
      </c>
      <c r="AV620" s="65">
        <f t="shared" si="792"/>
        <v>20210.997710158099</v>
      </c>
      <c r="AW620" s="65">
        <f t="shared" si="792"/>
        <v>10401.423243626901</v>
      </c>
      <c r="AX620" s="65">
        <f t="shared" si="792"/>
        <v>6595.7027543607492</v>
      </c>
      <c r="AY620" s="65">
        <f t="shared" si="792"/>
        <v>0</v>
      </c>
      <c r="AZ620" s="65">
        <f t="shared" si="792"/>
        <v>3836.7691637539374</v>
      </c>
      <c r="BB620" s="64"/>
      <c r="BC620" s="66"/>
      <c r="BD620" s="66"/>
      <c r="BE620" s="66"/>
    </row>
    <row r="621" spans="1:177" ht="21" customHeight="1" x14ac:dyDescent="0.2">
      <c r="B621" s="67">
        <v>10</v>
      </c>
      <c r="C621" s="73" t="s">
        <v>66</v>
      </c>
      <c r="D621" s="67">
        <v>14073</v>
      </c>
      <c r="E621" s="72" t="s">
        <v>835</v>
      </c>
      <c r="F621" s="79" t="s">
        <v>836</v>
      </c>
      <c r="G621" s="123">
        <v>41366</v>
      </c>
      <c r="H621" s="56" t="str">
        <f t="shared" si="777"/>
        <v>11 AÑOS</v>
      </c>
      <c r="I621" s="57">
        <v>3424.8314691074183</v>
      </c>
      <c r="J621" s="58"/>
      <c r="K621" s="58"/>
      <c r="L621" s="59"/>
      <c r="M621" s="60">
        <v>4.0000000000000002E-4</v>
      </c>
      <c r="N621" s="61">
        <f t="shared" si="778"/>
        <v>136.99325876429674</v>
      </c>
      <c r="O621" s="58">
        <f t="shared" si="779"/>
        <v>3561.8247278717149</v>
      </c>
      <c r="P621" s="61">
        <f t="shared" si="780"/>
        <v>7123.6494557434298</v>
      </c>
      <c r="Q621" s="61">
        <f t="shared" si="781"/>
        <v>5342.7370918075721</v>
      </c>
      <c r="R621" s="61">
        <f t="shared" si="782"/>
        <v>1780.9123639358575</v>
      </c>
      <c r="S621" s="61">
        <f t="shared" si="783"/>
        <v>237.45498185811434</v>
      </c>
      <c r="T621" s="58">
        <f t="shared" si="713"/>
        <v>272.57457367492941</v>
      </c>
      <c r="U621" s="61">
        <f t="shared" si="784"/>
        <v>2671.3685459037861</v>
      </c>
      <c r="V621" s="58">
        <f t="shared" si="785"/>
        <v>890.45618196792873</v>
      </c>
      <c r="W621" s="101">
        <v>0.05</v>
      </c>
      <c r="X621" s="63">
        <f t="shared" si="786"/>
        <v>356.18247278717149</v>
      </c>
      <c r="Y621" s="61">
        <v>18.217093875684668</v>
      </c>
      <c r="Z621" s="61">
        <v>0</v>
      </c>
      <c r="AA621" s="61">
        <f t="shared" si="787"/>
        <v>890.45618196792873</v>
      </c>
      <c r="AB621" s="61">
        <f t="shared" si="788"/>
        <v>178.09123639358575</v>
      </c>
      <c r="AC621" s="61">
        <v>1449.9488505703016</v>
      </c>
      <c r="AD621" s="61">
        <v>651.90297912964502</v>
      </c>
      <c r="AE621" s="61">
        <v>422.49058919614066</v>
      </c>
      <c r="AF621" s="61">
        <v>0</v>
      </c>
      <c r="AG621" s="61">
        <f t="shared" si="789"/>
        <v>245.76590622314831</v>
      </c>
      <c r="AH621" s="64"/>
      <c r="AI621" s="64"/>
      <c r="AJ621" s="67">
        <v>10</v>
      </c>
      <c r="AK621" s="73" t="s">
        <v>66</v>
      </c>
      <c r="AL621" s="67">
        <v>14073</v>
      </c>
      <c r="AM621" s="72" t="s">
        <v>835</v>
      </c>
      <c r="AN621" s="79" t="s">
        <v>836</v>
      </c>
      <c r="AO621" s="138">
        <f t="shared" si="791"/>
        <v>64112.845101690866</v>
      </c>
      <c r="AP621" s="65">
        <f t="shared" si="791"/>
        <v>21370.948367230289</v>
      </c>
      <c r="AQ621" s="65">
        <f t="shared" si="792"/>
        <v>4274.1896734460579</v>
      </c>
      <c r="AR621" s="65">
        <f t="shared" si="792"/>
        <v>218.60512650821602</v>
      </c>
      <c r="AS621" s="65">
        <f t="shared" si="792"/>
        <v>0</v>
      </c>
      <c r="AT621" s="65">
        <f t="shared" si="792"/>
        <v>10685.474183615144</v>
      </c>
      <c r="AU621" s="65">
        <f t="shared" si="792"/>
        <v>2137.0948367230289</v>
      </c>
      <c r="AV621" s="65">
        <f t="shared" si="792"/>
        <v>17399.386206843621</v>
      </c>
      <c r="AW621" s="65">
        <f t="shared" si="792"/>
        <v>7822.8357495557402</v>
      </c>
      <c r="AX621" s="65">
        <f t="shared" si="792"/>
        <v>5069.8870703536877</v>
      </c>
      <c r="AY621" s="65">
        <f t="shared" si="792"/>
        <v>0</v>
      </c>
      <c r="AZ621" s="65">
        <f t="shared" si="792"/>
        <v>2949.1908746777799</v>
      </c>
      <c r="BB621" s="64"/>
      <c r="BC621" s="66"/>
      <c r="BD621" s="66"/>
      <c r="BE621" s="66"/>
    </row>
    <row r="622" spans="1:177" ht="21" customHeight="1" x14ac:dyDescent="0.2">
      <c r="B622" s="67">
        <v>11</v>
      </c>
      <c r="C622" s="73" t="s">
        <v>66</v>
      </c>
      <c r="D622" s="67">
        <v>1060</v>
      </c>
      <c r="E622" s="72" t="s">
        <v>837</v>
      </c>
      <c r="F622" s="79" t="s">
        <v>836</v>
      </c>
      <c r="G622" s="123">
        <v>41703</v>
      </c>
      <c r="H622" s="56" t="str">
        <f t="shared" si="777"/>
        <v>10 AÑOS</v>
      </c>
      <c r="I622" s="57">
        <v>3424.8183172784197</v>
      </c>
      <c r="J622" s="58"/>
      <c r="K622" s="58"/>
      <c r="L622" s="59"/>
      <c r="M622" s="60">
        <v>4.0000000000000002E-4</v>
      </c>
      <c r="N622" s="61">
        <f t="shared" si="778"/>
        <v>136.99273269113678</v>
      </c>
      <c r="O622" s="58">
        <f t="shared" si="779"/>
        <v>3561.8110499695567</v>
      </c>
      <c r="P622" s="61">
        <f t="shared" si="780"/>
        <v>7123.6220999391135</v>
      </c>
      <c r="Q622" s="61">
        <f t="shared" si="781"/>
        <v>5342.7165749543346</v>
      </c>
      <c r="R622" s="61">
        <f t="shared" si="782"/>
        <v>1780.9055249847784</v>
      </c>
      <c r="S622" s="61">
        <f t="shared" si="783"/>
        <v>237.45406999797044</v>
      </c>
      <c r="T622" s="58">
        <f t="shared" si="713"/>
        <v>272.57352695067027</v>
      </c>
      <c r="U622" s="61">
        <f t="shared" si="784"/>
        <v>2671.3582874771673</v>
      </c>
      <c r="V622" s="58">
        <f t="shared" si="785"/>
        <v>890.45276249238918</v>
      </c>
      <c r="W622" s="101">
        <v>0.05</v>
      </c>
      <c r="X622" s="63">
        <f t="shared" si="786"/>
        <v>356.1811049969557</v>
      </c>
      <c r="Y622" s="61">
        <v>18.215780797077457</v>
      </c>
      <c r="Z622" s="61">
        <v>0</v>
      </c>
      <c r="AA622" s="61">
        <f t="shared" si="787"/>
        <v>890.45276249238907</v>
      </c>
      <c r="AB622" s="61">
        <f t="shared" si="788"/>
        <v>178.09055249847782</v>
      </c>
      <c r="AC622" s="61">
        <v>1449.9459845185925</v>
      </c>
      <c r="AD622" s="61">
        <v>651.90047573157062</v>
      </c>
      <c r="AE622" s="61">
        <v>422.488966773539</v>
      </c>
      <c r="AF622" s="61">
        <v>0</v>
      </c>
      <c r="AG622" s="61">
        <f t="shared" si="789"/>
        <v>245.76496244789942</v>
      </c>
      <c r="AH622" s="64"/>
      <c r="AI622" s="64"/>
      <c r="AJ622" s="67">
        <v>11</v>
      </c>
      <c r="AK622" s="73" t="s">
        <v>66</v>
      </c>
      <c r="AL622" s="67">
        <v>1060</v>
      </c>
      <c r="AM622" s="72" t="s">
        <v>837</v>
      </c>
      <c r="AN622" s="79" t="s">
        <v>836</v>
      </c>
      <c r="AO622" s="138">
        <f t="shared" si="791"/>
        <v>64112.598899452016</v>
      </c>
      <c r="AP622" s="65">
        <f t="shared" si="791"/>
        <v>21370.866299817339</v>
      </c>
      <c r="AQ622" s="65">
        <f t="shared" si="792"/>
        <v>4274.1732599634688</v>
      </c>
      <c r="AR622" s="65">
        <f t="shared" si="792"/>
        <v>218.58936956492948</v>
      </c>
      <c r="AS622" s="65">
        <f t="shared" si="792"/>
        <v>0</v>
      </c>
      <c r="AT622" s="65">
        <f t="shared" si="792"/>
        <v>10685.433149908669</v>
      </c>
      <c r="AU622" s="65">
        <f t="shared" si="792"/>
        <v>2137.0866299817339</v>
      </c>
      <c r="AV622" s="65">
        <f t="shared" si="792"/>
        <v>17399.351814223111</v>
      </c>
      <c r="AW622" s="65">
        <f t="shared" si="792"/>
        <v>7822.8057087788475</v>
      </c>
      <c r="AX622" s="65">
        <f t="shared" si="792"/>
        <v>5069.8676012824681</v>
      </c>
      <c r="AY622" s="65">
        <f t="shared" si="792"/>
        <v>0</v>
      </c>
      <c r="AZ622" s="65">
        <f t="shared" si="792"/>
        <v>2949.1795493747932</v>
      </c>
      <c r="BB622" s="64"/>
      <c r="BC622" s="66"/>
      <c r="BD622" s="66"/>
      <c r="BE622" s="66"/>
    </row>
    <row r="623" spans="1:177" ht="21" customHeight="1" x14ac:dyDescent="0.2">
      <c r="B623" s="67">
        <v>12</v>
      </c>
      <c r="C623" s="73" t="s">
        <v>66</v>
      </c>
      <c r="D623" s="67">
        <v>14098</v>
      </c>
      <c r="E623" s="72" t="s">
        <v>838</v>
      </c>
      <c r="F623" s="79" t="s">
        <v>839</v>
      </c>
      <c r="G623" s="123">
        <v>44382</v>
      </c>
      <c r="H623" s="56" t="str">
        <f t="shared" si="777"/>
        <v>3 AÑOS</v>
      </c>
      <c r="I623" s="57">
        <v>4454.3417496649299</v>
      </c>
      <c r="J623" s="58"/>
      <c r="K623" s="58"/>
      <c r="L623" s="59"/>
      <c r="M623" s="60">
        <v>4.0000000000000002E-4</v>
      </c>
      <c r="N623" s="61">
        <f t="shared" si="778"/>
        <v>178.17366998659719</v>
      </c>
      <c r="O623" s="58">
        <f t="shared" si="779"/>
        <v>4632.5154196515268</v>
      </c>
      <c r="P623" s="61">
        <f t="shared" si="780"/>
        <v>9265.0308393030537</v>
      </c>
      <c r="Q623" s="61">
        <f t="shared" si="781"/>
        <v>6948.7731294772902</v>
      </c>
      <c r="R623" s="61">
        <f t="shared" si="782"/>
        <v>2316.2577098257634</v>
      </c>
      <c r="S623" s="61">
        <f t="shared" si="783"/>
        <v>308.83436131010177</v>
      </c>
      <c r="T623" s="58">
        <f t="shared" si="713"/>
        <v>354.51096334786581</v>
      </c>
      <c r="U623" s="61">
        <f t="shared" si="784"/>
        <v>3474.3865647386451</v>
      </c>
      <c r="V623" s="58">
        <f t="shared" si="785"/>
        <v>1158.1288549128817</v>
      </c>
      <c r="W623" s="101">
        <v>0</v>
      </c>
      <c r="X623" s="63">
        <f t="shared" si="786"/>
        <v>0</v>
      </c>
      <c r="Y623" s="61">
        <v>192.86578048712914</v>
      </c>
      <c r="Z623" s="61">
        <v>0</v>
      </c>
      <c r="AA623" s="61">
        <f t="shared" si="787"/>
        <v>1158.1288549128817</v>
      </c>
      <c r="AB623" s="61">
        <f t="shared" si="788"/>
        <v>231.62577098257634</v>
      </c>
      <c r="AC623" s="61">
        <v>1683.9400307172882</v>
      </c>
      <c r="AD623" s="61">
        <v>866.54887325935579</v>
      </c>
      <c r="AE623" s="61">
        <v>549.49199318919204</v>
      </c>
      <c r="AF623" s="61">
        <v>0</v>
      </c>
      <c r="AG623" s="61">
        <f t="shared" si="789"/>
        <v>319.64356395595536</v>
      </c>
      <c r="AH623" s="64"/>
      <c r="AI623" s="64"/>
      <c r="AJ623" s="67">
        <v>12</v>
      </c>
      <c r="AK623" s="73" t="s">
        <v>66</v>
      </c>
      <c r="AL623" s="67">
        <v>14098</v>
      </c>
      <c r="AM623" s="72" t="s">
        <v>838</v>
      </c>
      <c r="AN623" s="79" t="s">
        <v>839</v>
      </c>
      <c r="AO623" s="138">
        <f t="shared" si="791"/>
        <v>83385.277553727487</v>
      </c>
      <c r="AP623" s="65">
        <f t="shared" si="791"/>
        <v>27795.092517909161</v>
      </c>
      <c r="AQ623" s="65">
        <f t="shared" si="792"/>
        <v>0</v>
      </c>
      <c r="AR623" s="65">
        <f t="shared" si="792"/>
        <v>2314.3893658455499</v>
      </c>
      <c r="AS623" s="65">
        <f t="shared" si="792"/>
        <v>0</v>
      </c>
      <c r="AT623" s="65">
        <f t="shared" si="792"/>
        <v>13897.54625895458</v>
      </c>
      <c r="AU623" s="65">
        <f t="shared" si="792"/>
        <v>2779.5092517909161</v>
      </c>
      <c r="AV623" s="65">
        <f t="shared" si="792"/>
        <v>20207.280368607459</v>
      </c>
      <c r="AW623" s="65">
        <f t="shared" si="792"/>
        <v>10398.586479112269</v>
      </c>
      <c r="AX623" s="65">
        <f t="shared" si="792"/>
        <v>6593.9039182703045</v>
      </c>
      <c r="AY623" s="65">
        <f t="shared" si="792"/>
        <v>0</v>
      </c>
      <c r="AZ623" s="65">
        <f t="shared" si="792"/>
        <v>3835.7227674714641</v>
      </c>
      <c r="BB623" s="64"/>
      <c r="BC623" s="66"/>
      <c r="BD623" s="66"/>
      <c r="BE623" s="66"/>
    </row>
    <row r="624" spans="1:177" ht="21" customHeight="1" x14ac:dyDescent="0.2">
      <c r="B624" s="67">
        <v>13</v>
      </c>
      <c r="C624" s="73" t="s">
        <v>66</v>
      </c>
      <c r="D624" s="67">
        <v>14105</v>
      </c>
      <c r="E624" s="50" t="s">
        <v>840</v>
      </c>
      <c r="F624" s="79" t="s">
        <v>841</v>
      </c>
      <c r="G624" s="123">
        <v>45459</v>
      </c>
      <c r="H624" s="56" t="str">
        <f t="shared" si="777"/>
        <v>0 AÑOS</v>
      </c>
      <c r="I624" s="57">
        <v>4454.3417496649299</v>
      </c>
      <c r="J624" s="58"/>
      <c r="K624" s="58"/>
      <c r="L624" s="59"/>
      <c r="M624" s="60">
        <v>4.0000000000000002E-4</v>
      </c>
      <c r="N624" s="61">
        <f t="shared" si="778"/>
        <v>178.17366998659719</v>
      </c>
      <c r="O624" s="58">
        <f t="shared" si="779"/>
        <v>4632.5154196515268</v>
      </c>
      <c r="P624" s="61">
        <f t="shared" si="780"/>
        <v>9265.0308393030537</v>
      </c>
      <c r="Q624" s="61">
        <f t="shared" si="781"/>
        <v>6948.7731294772902</v>
      </c>
      <c r="R624" s="61">
        <f t="shared" si="782"/>
        <v>2316.2577098257634</v>
      </c>
      <c r="S624" s="61">
        <f t="shared" si="783"/>
        <v>308.83436131010177</v>
      </c>
      <c r="T624" s="58">
        <f t="shared" si="713"/>
        <v>354.51096334786581</v>
      </c>
      <c r="U624" s="61">
        <f t="shared" si="784"/>
        <v>3474.3865647386451</v>
      </c>
      <c r="V624" s="58">
        <f t="shared" si="785"/>
        <v>1158.1288549128817</v>
      </c>
      <c r="W624" s="101">
        <v>0</v>
      </c>
      <c r="X624" s="63">
        <f t="shared" si="786"/>
        <v>0</v>
      </c>
      <c r="Y624" s="61">
        <v>192.86578048712914</v>
      </c>
      <c r="Z624" s="61">
        <v>0</v>
      </c>
      <c r="AA624" s="61">
        <f t="shared" si="787"/>
        <v>1158.1288549128817</v>
      </c>
      <c r="AB624" s="61">
        <f t="shared" si="788"/>
        <v>231.62577098257634</v>
      </c>
      <c r="AC624" s="61">
        <v>1683.9400307172882</v>
      </c>
      <c r="AD624" s="61">
        <v>866.54887325935579</v>
      </c>
      <c r="AE624" s="61">
        <v>549.49199318919204</v>
      </c>
      <c r="AF624" s="61">
        <v>0</v>
      </c>
      <c r="AG624" s="61">
        <f t="shared" si="789"/>
        <v>319.64356395595536</v>
      </c>
      <c r="AH624" s="64"/>
      <c r="AI624" s="64"/>
      <c r="AJ624" s="67">
        <v>13</v>
      </c>
      <c r="AK624" s="73" t="s">
        <v>66</v>
      </c>
      <c r="AL624" s="67">
        <v>14105</v>
      </c>
      <c r="AM624" s="50" t="s">
        <v>840</v>
      </c>
      <c r="AN624" s="79" t="s">
        <v>841</v>
      </c>
      <c r="AO624" s="65">
        <f>Q624*7</f>
        <v>48641.411906341033</v>
      </c>
      <c r="AP624" s="65">
        <f>R624*7</f>
        <v>16213.803968780343</v>
      </c>
      <c r="AQ624" s="65">
        <f t="shared" ref="AQ624:AZ624" si="793">X624*7</f>
        <v>0</v>
      </c>
      <c r="AR624" s="65">
        <f t="shared" si="793"/>
        <v>1350.0604634099041</v>
      </c>
      <c r="AS624" s="65">
        <f t="shared" si="793"/>
        <v>0</v>
      </c>
      <c r="AT624" s="65">
        <f t="shared" si="793"/>
        <v>8106.9019843901715</v>
      </c>
      <c r="AU624" s="65">
        <f t="shared" si="793"/>
        <v>1621.3803968780344</v>
      </c>
      <c r="AV624" s="65">
        <f t="shared" si="793"/>
        <v>11787.580215021018</v>
      </c>
      <c r="AW624" s="65">
        <f t="shared" si="793"/>
        <v>6065.8421128154905</v>
      </c>
      <c r="AX624" s="65">
        <f t="shared" si="793"/>
        <v>3846.4439523243445</v>
      </c>
      <c r="AY624" s="65">
        <f t="shared" si="793"/>
        <v>0</v>
      </c>
      <c r="AZ624" s="65">
        <f t="shared" si="793"/>
        <v>2237.5049476916874</v>
      </c>
      <c r="BB624" s="64"/>
      <c r="BC624" s="66"/>
      <c r="BD624" s="66"/>
      <c r="BE624" s="66"/>
    </row>
    <row r="625" spans="1:177" ht="21" customHeight="1" x14ac:dyDescent="0.2">
      <c r="B625" s="67">
        <v>14</v>
      </c>
      <c r="C625" s="73" t="s">
        <v>66</v>
      </c>
      <c r="D625" s="67">
        <v>14040</v>
      </c>
      <c r="E625" s="72" t="s">
        <v>842</v>
      </c>
      <c r="F625" s="72" t="s">
        <v>843</v>
      </c>
      <c r="G625" s="123">
        <v>38061</v>
      </c>
      <c r="H625" s="56" t="str">
        <f t="shared" si="777"/>
        <v>20 AÑOS</v>
      </c>
      <c r="I625" s="57">
        <v>3645.8352743228638</v>
      </c>
      <c r="J625" s="58"/>
      <c r="K625" s="58"/>
      <c r="L625" s="59"/>
      <c r="M625" s="60">
        <v>4.0000000000000002E-4</v>
      </c>
      <c r="N625" s="61">
        <f t="shared" si="778"/>
        <v>145.83341097291455</v>
      </c>
      <c r="O625" s="58">
        <f t="shared" si="779"/>
        <v>3791.6686852957782</v>
      </c>
      <c r="P625" s="61">
        <f t="shared" si="780"/>
        <v>7583.3373705915565</v>
      </c>
      <c r="Q625" s="61">
        <f t="shared" si="781"/>
        <v>5687.5030279436669</v>
      </c>
      <c r="R625" s="61">
        <f t="shared" si="782"/>
        <v>1895.8343426478891</v>
      </c>
      <c r="S625" s="61">
        <f t="shared" si="783"/>
        <v>252.77791235305187</v>
      </c>
      <c r="T625" s="58">
        <f t="shared" si="713"/>
        <v>290.16376559006824</v>
      </c>
      <c r="U625" s="61">
        <f t="shared" si="784"/>
        <v>2843.7515139718334</v>
      </c>
      <c r="V625" s="58">
        <f t="shared" si="785"/>
        <v>947.91717132394456</v>
      </c>
      <c r="W625" s="101">
        <v>7.4999999999999997E-2</v>
      </c>
      <c r="X625" s="63">
        <f t="shared" si="786"/>
        <v>568.75030279436669</v>
      </c>
      <c r="Y625" s="61">
        <v>40.282113788394724</v>
      </c>
      <c r="Z625" s="61">
        <v>0</v>
      </c>
      <c r="AA625" s="61">
        <f t="shared" si="787"/>
        <v>947.91717132394444</v>
      </c>
      <c r="AB625" s="61">
        <f t="shared" si="788"/>
        <v>189.58343426478891</v>
      </c>
      <c r="AC625" s="61">
        <v>1498.1100860677793</v>
      </c>
      <c r="AD625" s="61">
        <v>693.97016997348658</v>
      </c>
      <c r="AE625" s="61">
        <v>449.75383666460579</v>
      </c>
      <c r="AF625" s="61">
        <v>0</v>
      </c>
      <c r="AG625" s="61">
        <f t="shared" si="789"/>
        <v>261.62513928540869</v>
      </c>
      <c r="AH625" s="64"/>
      <c r="AI625" s="64"/>
      <c r="AJ625" s="67">
        <v>14</v>
      </c>
      <c r="AK625" s="73" t="s">
        <v>66</v>
      </c>
      <c r="AL625" s="67">
        <v>14040</v>
      </c>
      <c r="AM625" s="72" t="s">
        <v>842</v>
      </c>
      <c r="AN625" s="72" t="s">
        <v>843</v>
      </c>
      <c r="AO625" s="138">
        <f t="shared" ref="AO625:AP629" si="794">Q625*12</f>
        <v>68250.036335323995</v>
      </c>
      <c r="AP625" s="65">
        <f t="shared" si="794"/>
        <v>22750.012111774668</v>
      </c>
      <c r="AQ625" s="65">
        <f t="shared" ref="AQ625:AZ629" si="795">X625*12</f>
        <v>6825.0036335324003</v>
      </c>
      <c r="AR625" s="65">
        <f t="shared" si="795"/>
        <v>483.38536546073669</v>
      </c>
      <c r="AS625" s="65">
        <f t="shared" si="795"/>
        <v>0</v>
      </c>
      <c r="AT625" s="65">
        <f t="shared" si="795"/>
        <v>11375.006055887334</v>
      </c>
      <c r="AU625" s="65">
        <f t="shared" si="795"/>
        <v>2275.0012111774668</v>
      </c>
      <c r="AV625" s="65">
        <f t="shared" si="795"/>
        <v>17977.32103281335</v>
      </c>
      <c r="AW625" s="65">
        <f t="shared" si="795"/>
        <v>8327.6420396818394</v>
      </c>
      <c r="AX625" s="65">
        <f t="shared" si="795"/>
        <v>5397.0460399752692</v>
      </c>
      <c r="AY625" s="65">
        <f t="shared" si="795"/>
        <v>0</v>
      </c>
      <c r="AZ625" s="65">
        <f t="shared" si="795"/>
        <v>3139.5016714249041</v>
      </c>
      <c r="BB625" s="64"/>
      <c r="BC625" s="66"/>
      <c r="BD625" s="66"/>
      <c r="BE625" s="66"/>
    </row>
    <row r="626" spans="1:177" ht="21" customHeight="1" x14ac:dyDescent="0.2">
      <c r="B626" s="67">
        <v>15</v>
      </c>
      <c r="C626" s="73" t="s">
        <v>66</v>
      </c>
      <c r="D626" s="67">
        <v>14100</v>
      </c>
      <c r="E626" s="73" t="s">
        <v>844</v>
      </c>
      <c r="F626" s="72" t="s">
        <v>845</v>
      </c>
      <c r="G626" s="123">
        <v>44608</v>
      </c>
      <c r="H626" s="56" t="str">
        <f t="shared" si="777"/>
        <v>2 AÑOS</v>
      </c>
      <c r="I626" s="57">
        <v>4361.7790924411865</v>
      </c>
      <c r="J626" s="58"/>
      <c r="K626" s="58"/>
      <c r="L626" s="59"/>
      <c r="M626" s="60">
        <v>4.0000000000000002E-4</v>
      </c>
      <c r="N626" s="61">
        <f t="shared" si="778"/>
        <v>174.47116369764746</v>
      </c>
      <c r="O626" s="58">
        <f t="shared" si="779"/>
        <v>4536.2502561388337</v>
      </c>
      <c r="P626" s="61">
        <f t="shared" si="780"/>
        <v>9072.5005122776674</v>
      </c>
      <c r="Q626" s="61">
        <f t="shared" si="781"/>
        <v>6804.3753842082506</v>
      </c>
      <c r="R626" s="61">
        <f t="shared" si="782"/>
        <v>2268.1251280694169</v>
      </c>
      <c r="S626" s="61">
        <f t="shared" si="783"/>
        <v>302.41668374258893</v>
      </c>
      <c r="T626" s="58">
        <f t="shared" ref="T626:T630" si="796">S626*1.1479</f>
        <v>347.1441112681178</v>
      </c>
      <c r="U626" s="61">
        <f t="shared" si="784"/>
        <v>3402.1876921041253</v>
      </c>
      <c r="V626" s="58">
        <f t="shared" si="785"/>
        <v>1134.0625640347084</v>
      </c>
      <c r="W626" s="101">
        <v>0</v>
      </c>
      <c r="X626" s="63">
        <f t="shared" si="786"/>
        <v>0</v>
      </c>
      <c r="Y626" s="61">
        <v>177.15530580185765</v>
      </c>
      <c r="Z626" s="61">
        <v>0</v>
      </c>
      <c r="AA626" s="61">
        <f t="shared" si="787"/>
        <v>1134.0625640347084</v>
      </c>
      <c r="AB626" s="61">
        <f t="shared" si="788"/>
        <v>226.81251280694173</v>
      </c>
      <c r="AC626" s="61">
        <v>1660.3431541078103</v>
      </c>
      <c r="AD626" s="61">
        <v>848.54170837822369</v>
      </c>
      <c r="AE626" s="61">
        <v>538.07337246558257</v>
      </c>
      <c r="AF626" s="61">
        <v>0</v>
      </c>
      <c r="AG626" s="61">
        <f t="shared" si="789"/>
        <v>313.00126767357955</v>
      </c>
      <c r="AH626" s="64"/>
      <c r="AI626" s="64"/>
      <c r="AJ626" s="67">
        <v>15</v>
      </c>
      <c r="AK626" s="73" t="s">
        <v>66</v>
      </c>
      <c r="AL626" s="67">
        <v>14100</v>
      </c>
      <c r="AM626" s="73" t="s">
        <v>844</v>
      </c>
      <c r="AN626" s="72" t="s">
        <v>845</v>
      </c>
      <c r="AO626" s="138">
        <f t="shared" si="794"/>
        <v>81652.504610499003</v>
      </c>
      <c r="AP626" s="65">
        <f t="shared" si="794"/>
        <v>27217.501536833002</v>
      </c>
      <c r="AQ626" s="65">
        <f t="shared" si="795"/>
        <v>0</v>
      </c>
      <c r="AR626" s="65">
        <f t="shared" si="795"/>
        <v>2125.863669622292</v>
      </c>
      <c r="AS626" s="65">
        <f t="shared" si="795"/>
        <v>0</v>
      </c>
      <c r="AT626" s="65">
        <f t="shared" si="795"/>
        <v>13608.750768416501</v>
      </c>
      <c r="AU626" s="65">
        <f t="shared" si="795"/>
        <v>2721.7501536833006</v>
      </c>
      <c r="AV626" s="65">
        <f t="shared" si="795"/>
        <v>19924.117849293725</v>
      </c>
      <c r="AW626" s="65">
        <f t="shared" si="795"/>
        <v>10182.500500538685</v>
      </c>
      <c r="AX626" s="65">
        <f t="shared" si="795"/>
        <v>6456.8804695869912</v>
      </c>
      <c r="AY626" s="65">
        <f t="shared" si="795"/>
        <v>0</v>
      </c>
      <c r="AZ626" s="65">
        <f t="shared" si="795"/>
        <v>3756.0152120829543</v>
      </c>
      <c r="BB626" s="64"/>
      <c r="BC626" s="66"/>
      <c r="BD626" s="66"/>
      <c r="BE626" s="66"/>
    </row>
    <row r="627" spans="1:177" ht="21" customHeight="1" x14ac:dyDescent="0.2">
      <c r="B627" s="67">
        <v>16</v>
      </c>
      <c r="C627" s="73" t="s">
        <v>66</v>
      </c>
      <c r="D627" s="67">
        <v>14055</v>
      </c>
      <c r="E627" s="72" t="s">
        <v>846</v>
      </c>
      <c r="F627" s="72" t="s">
        <v>845</v>
      </c>
      <c r="G627" s="123">
        <v>39539</v>
      </c>
      <c r="H627" s="56" t="str">
        <f t="shared" si="777"/>
        <v>16 AÑOS</v>
      </c>
      <c r="I627" s="57">
        <v>4361.7790924411865</v>
      </c>
      <c r="J627" s="58"/>
      <c r="K627" s="58"/>
      <c r="L627" s="59"/>
      <c r="M627" s="60">
        <v>4.0000000000000002E-4</v>
      </c>
      <c r="N627" s="61">
        <f t="shared" si="778"/>
        <v>174.47116369764746</v>
      </c>
      <c r="O627" s="58">
        <f t="shared" si="779"/>
        <v>4536.2502561388337</v>
      </c>
      <c r="P627" s="61">
        <f t="shared" si="780"/>
        <v>9072.5005122776674</v>
      </c>
      <c r="Q627" s="61">
        <f t="shared" si="781"/>
        <v>6804.3753842082506</v>
      </c>
      <c r="R627" s="61">
        <f t="shared" si="782"/>
        <v>2268.1251280694169</v>
      </c>
      <c r="S627" s="61">
        <f t="shared" si="783"/>
        <v>302.41668374258893</v>
      </c>
      <c r="T627" s="58">
        <f t="shared" si="796"/>
        <v>347.1441112681178</v>
      </c>
      <c r="U627" s="61">
        <f t="shared" si="784"/>
        <v>3402.1876921041253</v>
      </c>
      <c r="V627" s="58">
        <f t="shared" si="785"/>
        <v>1134.0625640347084</v>
      </c>
      <c r="W627" s="101">
        <v>7.4999999999999997E-2</v>
      </c>
      <c r="X627" s="63">
        <f t="shared" si="786"/>
        <v>680.43753842082504</v>
      </c>
      <c r="Y627" s="61">
        <v>177.15530580185765</v>
      </c>
      <c r="Z627" s="61">
        <v>0</v>
      </c>
      <c r="AA627" s="61">
        <f t="shared" si="787"/>
        <v>1134.0625640347084</v>
      </c>
      <c r="AB627" s="61">
        <f t="shared" si="788"/>
        <v>226.81251280694173</v>
      </c>
      <c r="AC627" s="61">
        <v>1660.3431541078103</v>
      </c>
      <c r="AD627" s="61">
        <v>848.54170837822369</v>
      </c>
      <c r="AE627" s="61">
        <v>538.07337246558257</v>
      </c>
      <c r="AF627" s="61">
        <v>0</v>
      </c>
      <c r="AG627" s="61">
        <f t="shared" si="789"/>
        <v>313.00126767357955</v>
      </c>
      <c r="AH627" s="64"/>
      <c r="AI627" s="64"/>
      <c r="AJ627" s="67">
        <v>16</v>
      </c>
      <c r="AK627" s="73" t="s">
        <v>66</v>
      </c>
      <c r="AL627" s="67">
        <v>14055</v>
      </c>
      <c r="AM627" s="72" t="s">
        <v>846</v>
      </c>
      <c r="AN627" s="72" t="s">
        <v>845</v>
      </c>
      <c r="AO627" s="138">
        <f t="shared" si="794"/>
        <v>81652.504610499003</v>
      </c>
      <c r="AP627" s="65">
        <f t="shared" si="794"/>
        <v>27217.501536833002</v>
      </c>
      <c r="AQ627" s="65">
        <f t="shared" si="795"/>
        <v>8165.2504610499</v>
      </c>
      <c r="AR627" s="65">
        <f t="shared" si="795"/>
        <v>2125.863669622292</v>
      </c>
      <c r="AS627" s="65">
        <f t="shared" si="795"/>
        <v>0</v>
      </c>
      <c r="AT627" s="65">
        <f t="shared" si="795"/>
        <v>13608.750768416501</v>
      </c>
      <c r="AU627" s="65">
        <f t="shared" si="795"/>
        <v>2721.7501536833006</v>
      </c>
      <c r="AV627" s="65">
        <f t="shared" si="795"/>
        <v>19924.117849293725</v>
      </c>
      <c r="AW627" s="65">
        <f t="shared" si="795"/>
        <v>10182.500500538685</v>
      </c>
      <c r="AX627" s="65">
        <f t="shared" si="795"/>
        <v>6456.8804695869912</v>
      </c>
      <c r="AY627" s="65">
        <f t="shared" si="795"/>
        <v>0</v>
      </c>
      <c r="AZ627" s="65">
        <f t="shared" si="795"/>
        <v>3756.0152120829543</v>
      </c>
      <c r="BB627" s="64"/>
      <c r="BC627" s="66"/>
      <c r="BD627" s="66"/>
      <c r="BE627" s="66"/>
    </row>
    <row r="628" spans="1:177" ht="21" customHeight="1" x14ac:dyDescent="0.2">
      <c r="B628" s="67">
        <v>17</v>
      </c>
      <c r="C628" s="73" t="s">
        <v>66</v>
      </c>
      <c r="D628" s="67">
        <v>14095</v>
      </c>
      <c r="E628" s="73" t="s">
        <v>847</v>
      </c>
      <c r="F628" s="72" t="s">
        <v>845</v>
      </c>
      <c r="G628" s="123">
        <v>44197</v>
      </c>
      <c r="H628" s="56" t="str">
        <f t="shared" si="777"/>
        <v>3 AÑOS</v>
      </c>
      <c r="I628" s="57">
        <v>4361.7790924411865</v>
      </c>
      <c r="J628" s="58"/>
      <c r="K628" s="58"/>
      <c r="L628" s="59"/>
      <c r="M628" s="60">
        <v>4.0000000000000002E-4</v>
      </c>
      <c r="N628" s="61">
        <f t="shared" si="778"/>
        <v>174.47116369764746</v>
      </c>
      <c r="O628" s="58">
        <f t="shared" si="779"/>
        <v>4536.2502561388337</v>
      </c>
      <c r="P628" s="61">
        <f t="shared" si="780"/>
        <v>9072.5005122776674</v>
      </c>
      <c r="Q628" s="61">
        <f t="shared" si="781"/>
        <v>6804.3753842082506</v>
      </c>
      <c r="R628" s="61">
        <f t="shared" si="782"/>
        <v>2268.1251280694169</v>
      </c>
      <c r="S628" s="61">
        <f t="shared" si="783"/>
        <v>302.41668374258893</v>
      </c>
      <c r="T628" s="58">
        <f t="shared" si="796"/>
        <v>347.1441112681178</v>
      </c>
      <c r="U628" s="61">
        <f t="shared" si="784"/>
        <v>3402.1876921041253</v>
      </c>
      <c r="V628" s="58">
        <f t="shared" si="785"/>
        <v>1134.0625640347084</v>
      </c>
      <c r="W628" s="101">
        <v>0</v>
      </c>
      <c r="X628" s="63">
        <f t="shared" si="786"/>
        <v>0</v>
      </c>
      <c r="Y628" s="61">
        <v>177.15530580185765</v>
      </c>
      <c r="Z628" s="61">
        <v>0</v>
      </c>
      <c r="AA628" s="61">
        <f t="shared" si="787"/>
        <v>1134.0625640347084</v>
      </c>
      <c r="AB628" s="61">
        <f t="shared" si="788"/>
        <v>226.81251280694173</v>
      </c>
      <c r="AC628" s="61">
        <v>1660.3431541078103</v>
      </c>
      <c r="AD628" s="61">
        <v>848.54170837822369</v>
      </c>
      <c r="AE628" s="61">
        <v>538.07337246558257</v>
      </c>
      <c r="AF628" s="61">
        <v>0</v>
      </c>
      <c r="AG628" s="61">
        <f t="shared" si="789"/>
        <v>313.00126767357955</v>
      </c>
      <c r="AH628" s="64"/>
      <c r="AI628" s="64"/>
      <c r="AJ628" s="67">
        <v>17</v>
      </c>
      <c r="AK628" s="73" t="s">
        <v>66</v>
      </c>
      <c r="AL628" s="67">
        <v>14095</v>
      </c>
      <c r="AM628" s="73" t="s">
        <v>847</v>
      </c>
      <c r="AN628" s="72" t="s">
        <v>845</v>
      </c>
      <c r="AO628" s="138">
        <f t="shared" si="794"/>
        <v>81652.504610499003</v>
      </c>
      <c r="AP628" s="65">
        <f t="shared" si="794"/>
        <v>27217.501536833002</v>
      </c>
      <c r="AQ628" s="65">
        <f t="shared" si="795"/>
        <v>0</v>
      </c>
      <c r="AR628" s="65">
        <f t="shared" si="795"/>
        <v>2125.863669622292</v>
      </c>
      <c r="AS628" s="65">
        <f t="shared" si="795"/>
        <v>0</v>
      </c>
      <c r="AT628" s="65">
        <f t="shared" si="795"/>
        <v>13608.750768416501</v>
      </c>
      <c r="AU628" s="65">
        <f t="shared" si="795"/>
        <v>2721.7501536833006</v>
      </c>
      <c r="AV628" s="65">
        <f t="shared" si="795"/>
        <v>19924.117849293725</v>
      </c>
      <c r="AW628" s="65">
        <f t="shared" si="795"/>
        <v>10182.500500538685</v>
      </c>
      <c r="AX628" s="65">
        <f t="shared" si="795"/>
        <v>6456.8804695869912</v>
      </c>
      <c r="AY628" s="65">
        <f t="shared" si="795"/>
        <v>0</v>
      </c>
      <c r="AZ628" s="65">
        <f t="shared" si="795"/>
        <v>3756.0152120829543</v>
      </c>
      <c r="BB628" s="64"/>
      <c r="BC628" s="66"/>
      <c r="BD628" s="66"/>
      <c r="BE628" s="66"/>
    </row>
    <row r="629" spans="1:177" ht="21" customHeight="1" x14ac:dyDescent="0.2">
      <c r="B629" s="67">
        <v>18</v>
      </c>
      <c r="C629" s="73" t="s">
        <v>66</v>
      </c>
      <c r="D629" s="67">
        <v>14027</v>
      </c>
      <c r="E629" s="72" t="s">
        <v>848</v>
      </c>
      <c r="F629" s="72" t="s">
        <v>845</v>
      </c>
      <c r="G629" s="123">
        <v>37622</v>
      </c>
      <c r="H629" s="56" t="str">
        <f t="shared" si="777"/>
        <v>21 AÑOS</v>
      </c>
      <c r="I629" s="57">
        <v>4361.7790924411865</v>
      </c>
      <c r="J629" s="58"/>
      <c r="K629" s="58"/>
      <c r="L629" s="59"/>
      <c r="M629" s="60">
        <v>4.0000000000000002E-4</v>
      </c>
      <c r="N629" s="61">
        <f t="shared" si="778"/>
        <v>174.47116369764746</v>
      </c>
      <c r="O629" s="58">
        <f t="shared" si="779"/>
        <v>4536.2502561388337</v>
      </c>
      <c r="P629" s="61">
        <f t="shared" si="780"/>
        <v>9072.5005122776674</v>
      </c>
      <c r="Q629" s="61">
        <f t="shared" si="781"/>
        <v>6804.3753842082506</v>
      </c>
      <c r="R629" s="61">
        <f t="shared" si="782"/>
        <v>2268.1251280694169</v>
      </c>
      <c r="S629" s="61">
        <f t="shared" si="783"/>
        <v>302.41668374258893</v>
      </c>
      <c r="T629" s="58">
        <f t="shared" si="796"/>
        <v>347.1441112681178</v>
      </c>
      <c r="U629" s="61">
        <f t="shared" si="784"/>
        <v>3402.1876921041253</v>
      </c>
      <c r="V629" s="58">
        <f t="shared" si="785"/>
        <v>1134.0625640347084</v>
      </c>
      <c r="W629" s="101">
        <v>7.4999999999999997E-2</v>
      </c>
      <c r="X629" s="63">
        <f t="shared" si="786"/>
        <v>680.43753842082504</v>
      </c>
      <c r="Y629" s="61">
        <v>177.15530580185765</v>
      </c>
      <c r="Z629" s="61">
        <v>0</v>
      </c>
      <c r="AA629" s="61">
        <f t="shared" si="787"/>
        <v>1134.0625640347084</v>
      </c>
      <c r="AB629" s="61">
        <f t="shared" si="788"/>
        <v>226.81251280694173</v>
      </c>
      <c r="AC629" s="61">
        <v>1660.3431541078103</v>
      </c>
      <c r="AD629" s="61">
        <v>848.54170837822369</v>
      </c>
      <c r="AE629" s="61">
        <v>538.07337246558257</v>
      </c>
      <c r="AF629" s="61">
        <v>0</v>
      </c>
      <c r="AG629" s="61">
        <f t="shared" si="789"/>
        <v>313.00126767357955</v>
      </c>
      <c r="AH629" s="64"/>
      <c r="AI629" s="64"/>
      <c r="AJ629" s="67">
        <v>18</v>
      </c>
      <c r="AK629" s="73" t="s">
        <v>66</v>
      </c>
      <c r="AL629" s="67">
        <v>14027</v>
      </c>
      <c r="AM629" s="72" t="s">
        <v>848</v>
      </c>
      <c r="AN629" s="72" t="s">
        <v>845</v>
      </c>
      <c r="AO629" s="138">
        <f t="shared" si="794"/>
        <v>81652.504610499003</v>
      </c>
      <c r="AP629" s="65">
        <f t="shared" si="794"/>
        <v>27217.501536833002</v>
      </c>
      <c r="AQ629" s="65">
        <f t="shared" si="795"/>
        <v>8165.2504610499</v>
      </c>
      <c r="AR629" s="65">
        <f t="shared" si="795"/>
        <v>2125.863669622292</v>
      </c>
      <c r="AS629" s="65">
        <f t="shared" si="795"/>
        <v>0</v>
      </c>
      <c r="AT629" s="65">
        <f t="shared" si="795"/>
        <v>13608.750768416501</v>
      </c>
      <c r="AU629" s="65">
        <f t="shared" si="795"/>
        <v>2721.7501536833006</v>
      </c>
      <c r="AV629" s="65">
        <f t="shared" si="795"/>
        <v>19924.117849293725</v>
      </c>
      <c r="AW629" s="65">
        <f t="shared" si="795"/>
        <v>10182.500500538685</v>
      </c>
      <c r="AX629" s="65">
        <f t="shared" si="795"/>
        <v>6456.8804695869912</v>
      </c>
      <c r="AY629" s="65">
        <f t="shared" si="795"/>
        <v>0</v>
      </c>
      <c r="AZ629" s="65">
        <f t="shared" si="795"/>
        <v>3756.0152120829543</v>
      </c>
      <c r="BB629" s="64"/>
      <c r="BC629" s="66"/>
      <c r="BD629" s="66"/>
      <c r="BE629" s="66"/>
    </row>
    <row r="630" spans="1:177" ht="21" customHeight="1" x14ac:dyDescent="0.2">
      <c r="B630" s="67">
        <v>19</v>
      </c>
      <c r="C630" s="73" t="s">
        <v>66</v>
      </c>
      <c r="D630" s="67">
        <v>14102</v>
      </c>
      <c r="E630" s="53" t="s">
        <v>849</v>
      </c>
      <c r="F630" s="72" t="s">
        <v>850</v>
      </c>
      <c r="G630" s="123">
        <v>44743</v>
      </c>
      <c r="H630" s="56" t="str">
        <f t="shared" si="777"/>
        <v>2 AÑOS</v>
      </c>
      <c r="I630" s="75">
        <v>2913.8716211999999</v>
      </c>
      <c r="J630" s="75"/>
      <c r="K630" s="75"/>
      <c r="L630" s="137"/>
      <c r="M630" s="60">
        <v>1.74E-3</v>
      </c>
      <c r="N630" s="61">
        <f t="shared" ref="N630" si="797">I630*0.174</f>
        <v>507.01366208879995</v>
      </c>
      <c r="O630" s="58">
        <f t="shared" si="779"/>
        <v>3420.8852832887997</v>
      </c>
      <c r="P630" s="61">
        <f t="shared" si="780"/>
        <v>6841.7705665775993</v>
      </c>
      <c r="Q630" s="61">
        <f t="shared" si="781"/>
        <v>5131.327924933199</v>
      </c>
      <c r="R630" s="61">
        <f t="shared" si="782"/>
        <v>1710.4426416443998</v>
      </c>
      <c r="S630" s="61">
        <f t="shared" si="783"/>
        <v>228.05901888591998</v>
      </c>
      <c r="T630" s="58">
        <f t="shared" si="796"/>
        <v>261.78894777914752</v>
      </c>
      <c r="U630" s="61">
        <f t="shared" si="784"/>
        <v>2565.6639624665995</v>
      </c>
      <c r="V630" s="58">
        <f t="shared" si="785"/>
        <v>855.22132082219991</v>
      </c>
      <c r="W630" s="62">
        <v>0</v>
      </c>
      <c r="X630" s="63">
        <f t="shared" si="786"/>
        <v>0</v>
      </c>
      <c r="Y630" s="61">
        <v>0</v>
      </c>
      <c r="Z630" s="61">
        <v>25.27</v>
      </c>
      <c r="AA630" s="61">
        <f t="shared" si="787"/>
        <v>855.22132082220003</v>
      </c>
      <c r="AB630" s="61">
        <f t="shared" si="788"/>
        <v>171.04426416443997</v>
      </c>
      <c r="AC630" s="61">
        <v>1420.53</v>
      </c>
      <c r="AD630" s="61">
        <v>626.21</v>
      </c>
      <c r="AE630" s="61">
        <v>405.84</v>
      </c>
      <c r="AF630" s="61">
        <v>0</v>
      </c>
      <c r="AG630" s="61">
        <f t="shared" si="789"/>
        <v>236.04108454692718</v>
      </c>
      <c r="AH630" s="64"/>
      <c r="AI630" s="64"/>
      <c r="AJ630" s="67">
        <v>19</v>
      </c>
      <c r="AK630" s="73" t="s">
        <v>66</v>
      </c>
      <c r="AL630" s="67">
        <v>14102</v>
      </c>
      <c r="AM630" s="53" t="s">
        <v>849</v>
      </c>
      <c r="AN630" s="72" t="s">
        <v>850</v>
      </c>
      <c r="AO630" s="138">
        <f>Q630*10</f>
        <v>51313.279249331987</v>
      </c>
      <c r="AP630" s="65">
        <f>R630*10</f>
        <v>17104.426416443999</v>
      </c>
      <c r="AQ630" s="65">
        <f t="shared" ref="AQ630:AZ630" si="798">X630*10</f>
        <v>0</v>
      </c>
      <c r="AR630" s="65">
        <f t="shared" si="798"/>
        <v>0</v>
      </c>
      <c r="AS630" s="65">
        <f t="shared" si="798"/>
        <v>252.7</v>
      </c>
      <c r="AT630" s="65">
        <f t="shared" si="798"/>
        <v>8552.2132082219996</v>
      </c>
      <c r="AU630" s="65">
        <f t="shared" si="798"/>
        <v>1710.4426416443996</v>
      </c>
      <c r="AV630" s="65">
        <f t="shared" si="798"/>
        <v>14205.3</v>
      </c>
      <c r="AW630" s="65">
        <f t="shared" si="798"/>
        <v>6262.1</v>
      </c>
      <c r="AX630" s="65">
        <f t="shared" si="798"/>
        <v>4058.3999999999996</v>
      </c>
      <c r="AY630" s="65">
        <f t="shared" si="798"/>
        <v>0</v>
      </c>
      <c r="AZ630" s="65">
        <f t="shared" si="798"/>
        <v>2360.4108454692719</v>
      </c>
      <c r="BB630" s="64"/>
      <c r="BC630" s="66"/>
      <c r="BD630" s="66"/>
      <c r="BE630" s="66"/>
    </row>
    <row r="631" spans="1:177" s="96" customFormat="1" ht="21" customHeight="1" x14ac:dyDescent="0.2">
      <c r="A631" s="50"/>
      <c r="B631" s="455" t="s">
        <v>99</v>
      </c>
      <c r="C631" s="456"/>
      <c r="D631" s="456"/>
      <c r="E631" s="143">
        <v>19</v>
      </c>
      <c r="F631" s="166" t="s">
        <v>100</v>
      </c>
      <c r="G631" s="89"/>
      <c r="H631" s="90"/>
      <c r="I631" s="91">
        <f t="shared" ref="I631:AG631" si="799">SUM(I616:I630)</f>
        <v>63651.612847707678</v>
      </c>
      <c r="J631" s="91">
        <f t="shared" si="799"/>
        <v>5984.31</v>
      </c>
      <c r="K631" s="91">
        <f t="shared" si="799"/>
        <v>1070.9984214904134</v>
      </c>
      <c r="L631" s="91">
        <f t="shared" si="799"/>
        <v>21.797893424363128</v>
      </c>
      <c r="M631" s="91">
        <f t="shared" si="799"/>
        <v>9.1200000000000014E-3</v>
      </c>
      <c r="N631" s="91">
        <f t="shared" si="799"/>
        <v>3810.6014409659638</v>
      </c>
      <c r="O631" s="91">
        <f t="shared" si="799"/>
        <v>67462.214288673626</v>
      </c>
      <c r="P631" s="91">
        <f t="shared" si="799"/>
        <v>134924.42857734725</v>
      </c>
      <c r="Q631" s="91">
        <f t="shared" si="799"/>
        <v>101193.32143301044</v>
      </c>
      <c r="R631" s="91">
        <f t="shared" si="799"/>
        <v>33731.107144336813</v>
      </c>
      <c r="S631" s="91">
        <f t="shared" si="799"/>
        <v>4497.480952578243</v>
      </c>
      <c r="T631" s="91">
        <f t="shared" si="799"/>
        <v>5162.6583854645651</v>
      </c>
      <c r="U631" s="91">
        <f t="shared" si="799"/>
        <v>50596.660716505219</v>
      </c>
      <c r="V631" s="91">
        <f t="shared" si="799"/>
        <v>16865.553572168406</v>
      </c>
      <c r="W631" s="91">
        <f t="shared" si="799"/>
        <v>0.45</v>
      </c>
      <c r="X631" s="91">
        <f t="shared" si="799"/>
        <v>3867.9409026490262</v>
      </c>
      <c r="Y631" s="91">
        <f t="shared" si="799"/>
        <v>3041.2400983166085</v>
      </c>
      <c r="Z631" s="91">
        <f t="shared" si="799"/>
        <v>25.27</v>
      </c>
      <c r="AA631" s="91">
        <f t="shared" si="799"/>
        <v>16865.553572168406</v>
      </c>
      <c r="AB631" s="91">
        <f t="shared" si="799"/>
        <v>3373.1107144336825</v>
      </c>
      <c r="AC631" s="91">
        <f t="shared" si="799"/>
        <v>24895.800908725909</v>
      </c>
      <c r="AD631" s="91">
        <f t="shared" si="799"/>
        <v>12718.535972010588</v>
      </c>
      <c r="AE631" s="91">
        <f t="shared" si="799"/>
        <v>8002.1876284123973</v>
      </c>
      <c r="AF631" s="91">
        <f t="shared" si="799"/>
        <v>0</v>
      </c>
      <c r="AG631" s="91">
        <f t="shared" si="799"/>
        <v>4654.8927859184805</v>
      </c>
      <c r="AH631" s="92"/>
      <c r="AI631" s="92"/>
      <c r="AJ631" s="455" t="s">
        <v>99</v>
      </c>
      <c r="AK631" s="456"/>
      <c r="AL631" s="456"/>
      <c r="AM631" s="143">
        <v>19</v>
      </c>
      <c r="AN631" s="166" t="s">
        <v>100</v>
      </c>
      <c r="AO631" s="175">
        <f>SUM(AO615:AO630)+25508.35</f>
        <v>1207237.9206706791</v>
      </c>
      <c r="AP631" s="142">
        <f>SUM(AP615:AP630)+8502.78</f>
        <v>402412.63689022651</v>
      </c>
      <c r="AQ631" s="142">
        <f>SUM(AQ615:AQ630)+547.24</f>
        <v>52348.967047068836</v>
      </c>
      <c r="AR631" s="142">
        <f>SUM(AR615:AR630)+1160.26</f>
        <v>39974.736937026712</v>
      </c>
      <c r="AS631" s="142">
        <f>SUM(AS615:AS630)+183.19</f>
        <v>435.89</v>
      </c>
      <c r="AT631" s="142">
        <f>SUM(AT615:AT630)+4251.39</f>
        <v>201206.31844511325</v>
      </c>
      <c r="AU631" s="142">
        <f>SUM(AU615:AU630)+850.28</f>
        <v>40241.265689022643</v>
      </c>
      <c r="AV631" s="142">
        <f>SUM(AV615:AV630)+6426.5</f>
        <v>294735.50701030379</v>
      </c>
      <c r="AW631" s="142">
        <f>SUM(AW615:AW630)+3244.42</f>
        <v>152269.55476105196</v>
      </c>
      <c r="AX631" s="142">
        <f>SUM(AX615:AX630)+1999.98</f>
        <v>95448.937085776663</v>
      </c>
      <c r="AY631" s="142">
        <f>SUM(AY615:AY630)</f>
        <v>0</v>
      </c>
      <c r="AZ631" s="142">
        <f>SUM(AZ615:AZ630)+1173.38</f>
        <v>55532.940250851236</v>
      </c>
      <c r="BA631" s="94"/>
      <c r="BB631" s="92"/>
      <c r="BC631" s="95"/>
      <c r="BD631" s="95"/>
      <c r="BE631" s="95"/>
      <c r="BF631" s="50"/>
      <c r="BG631" s="50"/>
      <c r="BH631" s="50"/>
      <c r="BI631" s="50"/>
      <c r="BJ631" s="50"/>
      <c r="BK631" s="50"/>
      <c r="BL631" s="50"/>
      <c r="BM631" s="50"/>
      <c r="BN631" s="50"/>
      <c r="BO631" s="50"/>
      <c r="BP631" s="50"/>
      <c r="BQ631" s="50"/>
      <c r="BR631" s="50"/>
      <c r="BS631" s="50"/>
      <c r="BT631" s="50"/>
      <c r="BU631" s="50"/>
      <c r="BV631" s="50"/>
      <c r="BW631" s="50"/>
      <c r="BX631" s="50"/>
      <c r="BY631" s="50"/>
      <c r="BZ631" s="50"/>
      <c r="CA631" s="50"/>
      <c r="CB631" s="50"/>
      <c r="CC631" s="50"/>
      <c r="CD631" s="50"/>
      <c r="CE631" s="50"/>
      <c r="CF631" s="50"/>
      <c r="CG631" s="50"/>
      <c r="CH631" s="50"/>
      <c r="CI631" s="50"/>
      <c r="CJ631" s="50"/>
      <c r="CK631" s="50"/>
      <c r="CL631" s="50"/>
      <c r="CM631" s="50"/>
      <c r="CN631" s="50"/>
      <c r="CO631" s="50"/>
      <c r="CP631" s="50"/>
      <c r="CQ631" s="50"/>
      <c r="CR631" s="50"/>
      <c r="CS631" s="50"/>
      <c r="CT631" s="50"/>
      <c r="CU631" s="50"/>
      <c r="CV631" s="50"/>
      <c r="CW631" s="50"/>
      <c r="CX631" s="50"/>
      <c r="CY631" s="50"/>
      <c r="CZ631" s="50"/>
      <c r="DA631" s="50"/>
      <c r="DB631" s="50"/>
      <c r="DC631" s="50"/>
      <c r="DD631" s="50"/>
      <c r="DE631" s="50"/>
      <c r="DF631" s="50"/>
      <c r="DG631" s="50"/>
      <c r="DH631" s="50"/>
      <c r="DI631" s="50"/>
      <c r="DJ631" s="50"/>
      <c r="DK631" s="50"/>
      <c r="DL631" s="50"/>
      <c r="DM631" s="50"/>
      <c r="DN631" s="50"/>
      <c r="DO631" s="50"/>
      <c r="DP631" s="50"/>
      <c r="DQ631" s="50"/>
      <c r="DR631" s="50"/>
      <c r="DS631" s="50"/>
      <c r="DT631" s="50"/>
      <c r="DU631" s="50"/>
      <c r="DV631" s="50"/>
      <c r="DW631" s="50"/>
      <c r="DX631" s="50"/>
      <c r="DY631" s="50"/>
      <c r="DZ631" s="50"/>
      <c r="EA631" s="50"/>
      <c r="EB631" s="50"/>
      <c r="EC631" s="50"/>
      <c r="ED631" s="50"/>
      <c r="EE631" s="50"/>
      <c r="EF631" s="50"/>
      <c r="EG631" s="50"/>
      <c r="EH631" s="50"/>
      <c r="EI631" s="50"/>
      <c r="EJ631" s="50"/>
      <c r="EK631" s="50"/>
      <c r="EL631" s="50"/>
      <c r="EM631" s="50"/>
      <c r="EN631" s="50"/>
      <c r="EO631" s="50"/>
      <c r="EP631" s="50"/>
      <c r="EQ631" s="50"/>
      <c r="ER631" s="50"/>
      <c r="ES631" s="50"/>
      <c r="ET631" s="50"/>
      <c r="EU631" s="50"/>
      <c r="EV631" s="50"/>
      <c r="EW631" s="50"/>
      <c r="EX631" s="50"/>
      <c r="EY631" s="50"/>
      <c r="EZ631" s="50"/>
      <c r="FA631" s="50"/>
      <c r="FB631" s="50"/>
      <c r="FC631" s="50"/>
      <c r="FD631" s="50"/>
      <c r="FE631" s="50"/>
      <c r="FF631" s="50"/>
      <c r="FG631" s="50"/>
      <c r="FH631" s="50"/>
      <c r="FI631" s="50"/>
      <c r="FJ631" s="50"/>
      <c r="FK631" s="50"/>
      <c r="FL631" s="50"/>
      <c r="FM631" s="50"/>
      <c r="FN631" s="50"/>
      <c r="FO631" s="50"/>
      <c r="FP631" s="50"/>
      <c r="FQ631" s="50"/>
      <c r="FR631" s="50"/>
      <c r="FS631" s="50"/>
      <c r="FT631" s="50"/>
      <c r="FU631" s="50"/>
    </row>
    <row r="632" spans="1:177" ht="21" customHeight="1" x14ac:dyDescent="0.2">
      <c r="B632" s="457" t="s">
        <v>101</v>
      </c>
      <c r="C632" s="458"/>
      <c r="D632" s="458"/>
      <c r="E632" s="207">
        <v>19</v>
      </c>
      <c r="F632" s="271" t="s">
        <v>851</v>
      </c>
      <c r="G632" s="272"/>
      <c r="H632" s="147"/>
      <c r="I632" s="57">
        <f t="shared" ref="I632:AG632" si="800">I614+I631</f>
        <v>84200.470459649252</v>
      </c>
      <c r="J632" s="57">
        <f t="shared" si="800"/>
        <v>6806.2650724776631</v>
      </c>
      <c r="K632" s="57">
        <f t="shared" si="800"/>
        <v>23263.764578387305</v>
      </c>
      <c r="L632" s="74">
        <f t="shared" si="800"/>
        <v>64956.186219159703</v>
      </c>
      <c r="M632" s="57">
        <f t="shared" si="800"/>
        <v>96990.614072364173</v>
      </c>
      <c r="N632" s="57">
        <f t="shared" si="800"/>
        <v>111486.61113553976</v>
      </c>
      <c r="O632" s="57">
        <f t="shared" si="800"/>
        <v>175740.99044973101</v>
      </c>
      <c r="P632" s="57">
        <f t="shared" si="800"/>
        <v>195724.58644592843</v>
      </c>
      <c r="Q632" s="57">
        <f t="shared" si="800"/>
        <v>146793.43983444633</v>
      </c>
      <c r="R632" s="57">
        <f t="shared" si="800"/>
        <v>48931.146611482109</v>
      </c>
      <c r="S632" s="57">
        <f t="shared" si="800"/>
        <v>6524.1528815309484</v>
      </c>
      <c r="T632" s="57">
        <f t="shared" si="800"/>
        <v>7489.0750927093759</v>
      </c>
      <c r="U632" s="81">
        <f t="shared" si="800"/>
        <v>73396.719917223163</v>
      </c>
      <c r="V632" s="57">
        <f t="shared" si="800"/>
        <v>24465.573305741054</v>
      </c>
      <c r="W632" s="57">
        <f t="shared" si="800"/>
        <v>0.45</v>
      </c>
      <c r="X632" s="57">
        <f t="shared" si="800"/>
        <v>3867.9409026490262</v>
      </c>
      <c r="Y632" s="57">
        <f t="shared" si="800"/>
        <v>8081.4925051859518</v>
      </c>
      <c r="Z632" s="57">
        <f t="shared" si="800"/>
        <v>25.27</v>
      </c>
      <c r="AA632" s="57">
        <f t="shared" si="800"/>
        <v>24465.573305741054</v>
      </c>
      <c r="AB632" s="57">
        <f t="shared" si="800"/>
        <v>4893.1146611482118</v>
      </c>
      <c r="AC632" s="57">
        <f t="shared" si="800"/>
        <v>33992.783477877383</v>
      </c>
      <c r="AD632" s="57">
        <f t="shared" si="800"/>
        <v>18816.190482534599</v>
      </c>
      <c r="AE632" s="57">
        <f t="shared" si="800"/>
        <v>11608.133524641855</v>
      </c>
      <c r="AF632" s="57">
        <f t="shared" si="800"/>
        <v>0</v>
      </c>
      <c r="AG632" s="57">
        <f t="shared" si="800"/>
        <v>6752.4982323845306</v>
      </c>
      <c r="AH632" s="92">
        <f>Q632+R632-Y632+Z632+X632+AA632+AB632+AC632+AD632+AE632+AF632+AG632</f>
        <v>292064.59852771909</v>
      </c>
      <c r="AI632" s="92">
        <f>AH632*12</f>
        <v>3504775.1823326293</v>
      </c>
      <c r="AJ632" s="457" t="s">
        <v>101</v>
      </c>
      <c r="AK632" s="458"/>
      <c r="AL632" s="458"/>
      <c r="AM632" s="207">
        <v>19</v>
      </c>
      <c r="AN632" s="271" t="s">
        <v>851</v>
      </c>
      <c r="AO632" s="124">
        <f t="shared" ref="AO632:AZ632" si="801">AO614+AO631</f>
        <v>1632544.2255146462</v>
      </c>
      <c r="AP632" s="151">
        <f t="shared" si="801"/>
        <v>544181.40517154895</v>
      </c>
      <c r="AQ632" s="151">
        <f t="shared" si="801"/>
        <v>52348.967047068836</v>
      </c>
      <c r="AR632" s="151">
        <f t="shared" si="801"/>
        <v>88696.85297305003</v>
      </c>
      <c r="AS632" s="151">
        <f t="shared" si="801"/>
        <v>435.89</v>
      </c>
      <c r="AT632" s="151">
        <f t="shared" si="801"/>
        <v>272090.70258577447</v>
      </c>
      <c r="AU632" s="151">
        <f t="shared" si="801"/>
        <v>54418.142517154884</v>
      </c>
      <c r="AV632" s="151">
        <f t="shared" si="801"/>
        <v>379044.10209205106</v>
      </c>
      <c r="AW632" s="151">
        <f t="shared" si="801"/>
        <v>209141.57612853276</v>
      </c>
      <c r="AX632" s="151">
        <f t="shared" si="801"/>
        <v>129081.12003520352</v>
      </c>
      <c r="AY632" s="151">
        <f t="shared" si="801"/>
        <v>0</v>
      </c>
      <c r="AZ632" s="151">
        <f t="shared" si="801"/>
        <v>75097.030273673736</v>
      </c>
      <c r="BA632" s="94"/>
      <c r="BB632" s="92">
        <f>AO632+AP632+AQ632-AR632+AS632+AU632+AV632+AT632+AW632+AX632+AY632+AZ632</f>
        <v>3259686.3083926043</v>
      </c>
      <c r="BC632" s="95"/>
      <c r="BD632" s="95"/>
      <c r="BE632" s="95"/>
    </row>
    <row r="633" spans="1:177" ht="21" customHeight="1" x14ac:dyDescent="0.2">
      <c r="B633" s="457" t="s">
        <v>103</v>
      </c>
      <c r="C633" s="458"/>
      <c r="D633" s="458"/>
      <c r="E633" s="76">
        <f>E631-E632</f>
        <v>0</v>
      </c>
      <c r="F633" s="73"/>
      <c r="G633" s="484"/>
      <c r="H633" s="479"/>
      <c r="I633" s="479"/>
      <c r="J633" s="479"/>
      <c r="K633" s="479"/>
      <c r="L633" s="479"/>
      <c r="M633" s="479"/>
      <c r="N633" s="479"/>
      <c r="O633" s="479"/>
      <c r="P633" s="479"/>
      <c r="Q633" s="479"/>
      <c r="R633" s="479"/>
      <c r="S633" s="479"/>
      <c r="T633" s="479"/>
      <c r="U633" s="479"/>
      <c r="V633" s="479"/>
      <c r="W633" s="479"/>
      <c r="X633" s="479"/>
      <c r="Y633" s="479"/>
      <c r="Z633" s="479"/>
      <c r="AA633" s="479"/>
      <c r="AB633" s="479"/>
      <c r="AC633" s="479"/>
      <c r="AD633" s="479"/>
      <c r="AE633" s="479"/>
      <c r="AF633" s="479"/>
      <c r="AG633" s="480"/>
      <c r="AH633" s="273"/>
      <c r="AI633" s="273"/>
      <c r="AJ633" s="457" t="s">
        <v>103</v>
      </c>
      <c r="AK633" s="458"/>
      <c r="AL633" s="458"/>
      <c r="AM633" s="76">
        <f>AM631-AM632</f>
        <v>0</v>
      </c>
      <c r="AN633" s="73"/>
      <c r="AO633" s="481"/>
      <c r="AP633" s="482"/>
      <c r="AQ633" s="482"/>
      <c r="AR633" s="482"/>
      <c r="AS633" s="482"/>
      <c r="AT633" s="482"/>
      <c r="AU633" s="482"/>
      <c r="AV633" s="482"/>
      <c r="AW633" s="482"/>
      <c r="AX633" s="482"/>
      <c r="AY633" s="482"/>
      <c r="AZ633" s="483"/>
      <c r="BA633" s="152"/>
      <c r="BB633" s="92"/>
      <c r="BC633" s="95"/>
      <c r="BD633" s="95"/>
      <c r="BE633" s="95"/>
    </row>
    <row r="634" spans="1:177" ht="21" customHeight="1" x14ac:dyDescent="0.2">
      <c r="B634" s="5"/>
      <c r="C634" s="94"/>
      <c r="D634" s="5"/>
      <c r="E634" s="94"/>
      <c r="G634" s="27"/>
      <c r="H634" s="27"/>
      <c r="I634" s="95"/>
      <c r="J634" s="95"/>
      <c r="K634" s="95"/>
      <c r="L634" s="27"/>
      <c r="M634" s="128"/>
      <c r="N634" s="66"/>
      <c r="O634" s="95"/>
      <c r="P634" s="66"/>
      <c r="Q634" s="66"/>
      <c r="R634" s="66"/>
      <c r="S634" s="66"/>
      <c r="T634" s="95"/>
      <c r="U634" s="66"/>
      <c r="V634" s="95"/>
      <c r="W634" s="129"/>
      <c r="X634" s="130"/>
      <c r="Y634" s="66"/>
      <c r="Z634" s="66"/>
      <c r="AA634" s="66"/>
      <c r="AB634" s="66"/>
      <c r="AC634" s="66"/>
      <c r="AD634" s="66"/>
      <c r="AE634" s="66"/>
      <c r="AF634" s="66"/>
      <c r="AG634" s="66"/>
      <c r="AH634" s="64"/>
      <c r="AI634" s="64"/>
      <c r="AJ634" s="5"/>
      <c r="AK634" s="94"/>
      <c r="AL634" s="5"/>
      <c r="AM634" s="94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2"/>
      <c r="BB634" s="92"/>
      <c r="BC634" s="95"/>
      <c r="BD634" s="95"/>
      <c r="BE634" s="95"/>
    </row>
    <row r="635" spans="1:177" ht="21" customHeight="1" thickBot="1" x14ac:dyDescent="0.25">
      <c r="B635" s="5"/>
      <c r="C635" s="94"/>
      <c r="D635" s="5"/>
      <c r="E635" s="94"/>
      <c r="G635" s="27"/>
      <c r="H635" s="27"/>
      <c r="I635" s="95"/>
      <c r="J635" s="95"/>
      <c r="K635" s="95"/>
      <c r="L635" s="27"/>
      <c r="M635" s="128"/>
      <c r="N635" s="66"/>
      <c r="O635" s="95"/>
      <c r="P635" s="66"/>
      <c r="Q635" s="66"/>
      <c r="R635" s="66"/>
      <c r="S635" s="66"/>
      <c r="T635" s="95"/>
      <c r="U635" s="66"/>
      <c r="V635" s="95"/>
      <c r="W635" s="129"/>
      <c r="X635" s="130"/>
      <c r="Y635" s="66"/>
      <c r="Z635" s="66"/>
      <c r="AA635" s="66"/>
      <c r="AB635" s="66"/>
      <c r="AC635" s="66"/>
      <c r="AD635" s="66"/>
      <c r="AE635" s="66"/>
      <c r="AF635" s="66"/>
      <c r="AG635" s="66"/>
      <c r="AH635" s="64"/>
      <c r="AI635" s="64"/>
      <c r="AJ635" s="5"/>
      <c r="AK635" s="94"/>
      <c r="AL635" s="5"/>
      <c r="AM635" s="94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2"/>
      <c r="BB635" s="92"/>
      <c r="BC635" s="95"/>
      <c r="BD635" s="95"/>
      <c r="BE635" s="95"/>
    </row>
    <row r="636" spans="1:177" s="134" customFormat="1" ht="21" customHeight="1" thickBot="1" x14ac:dyDescent="0.25">
      <c r="A636" s="94"/>
      <c r="B636" s="476" t="s">
        <v>852</v>
      </c>
      <c r="C636" s="477"/>
      <c r="D636" s="477"/>
      <c r="E636" s="478"/>
      <c r="F636" s="466" t="s">
        <v>4</v>
      </c>
      <c r="G636" s="7" t="s">
        <v>5</v>
      </c>
      <c r="H636" s="8" t="s">
        <v>6</v>
      </c>
      <c r="I636" s="9" t="s">
        <v>7</v>
      </c>
      <c r="J636" s="9"/>
      <c r="K636" s="9"/>
      <c r="L636" s="9"/>
      <c r="M636" s="10">
        <v>4.0000000000000002E-4</v>
      </c>
      <c r="N636" s="11" t="s">
        <v>8</v>
      </c>
      <c r="O636" s="12" t="s">
        <v>9</v>
      </c>
      <c r="P636" s="12" t="s">
        <v>10</v>
      </c>
      <c r="Q636" s="13" t="s">
        <v>11</v>
      </c>
      <c r="R636" s="12" t="s">
        <v>12</v>
      </c>
      <c r="S636" s="14" t="s">
        <v>11</v>
      </c>
      <c r="T636" s="15" t="s">
        <v>13</v>
      </c>
      <c r="U636" s="16" t="s">
        <v>11</v>
      </c>
      <c r="V636" s="17" t="s">
        <v>12</v>
      </c>
      <c r="W636" s="18" t="s">
        <v>14</v>
      </c>
      <c r="X636" s="19" t="s">
        <v>15</v>
      </c>
      <c r="Y636" s="15" t="s">
        <v>16</v>
      </c>
      <c r="Z636" s="13" t="s">
        <v>17</v>
      </c>
      <c r="AA636" s="20" t="s">
        <v>18</v>
      </c>
      <c r="AB636" s="17" t="s">
        <v>19</v>
      </c>
      <c r="AC636" s="13" t="s">
        <v>20</v>
      </c>
      <c r="AD636" s="13" t="s">
        <v>21</v>
      </c>
      <c r="AE636" s="13" t="s">
        <v>22</v>
      </c>
      <c r="AF636" s="17" t="s">
        <v>23</v>
      </c>
      <c r="AG636" s="12" t="s">
        <v>24</v>
      </c>
      <c r="AH636" s="132"/>
      <c r="AI636" s="132"/>
      <c r="AJ636" s="476" t="s">
        <v>852</v>
      </c>
      <c r="AK636" s="477"/>
      <c r="AL636" s="477"/>
      <c r="AM636" s="478"/>
      <c r="AN636" s="466" t="s">
        <v>4</v>
      </c>
      <c r="AO636" s="133" t="s">
        <v>11</v>
      </c>
      <c r="AP636" s="12" t="s">
        <v>12</v>
      </c>
      <c r="AQ636" s="23" t="s">
        <v>15</v>
      </c>
      <c r="AR636" s="22" t="s">
        <v>16</v>
      </c>
      <c r="AS636" s="22" t="s">
        <v>25</v>
      </c>
      <c r="AT636" s="20" t="s">
        <v>26</v>
      </c>
      <c r="AU636" s="24" t="s">
        <v>27</v>
      </c>
      <c r="AV636" s="23" t="s">
        <v>20</v>
      </c>
      <c r="AW636" s="22" t="s">
        <v>28</v>
      </c>
      <c r="AX636" s="22" t="s">
        <v>29</v>
      </c>
      <c r="AY636" s="25" t="s">
        <v>23</v>
      </c>
      <c r="AZ636" s="24" t="s">
        <v>24</v>
      </c>
      <c r="BA636" s="94"/>
      <c r="BB636" s="92"/>
      <c r="BC636" s="95"/>
      <c r="BD636" s="95"/>
      <c r="BE636" s="95"/>
      <c r="BF636" s="94"/>
      <c r="BG636" s="94"/>
      <c r="BH636" s="94"/>
      <c r="BI636" s="94"/>
      <c r="BJ636" s="94"/>
      <c r="BK636" s="94"/>
      <c r="BL636" s="94"/>
      <c r="BM636" s="94"/>
      <c r="BN636" s="94"/>
      <c r="BO636" s="94"/>
      <c r="BP636" s="94"/>
      <c r="BQ636" s="94"/>
      <c r="BR636" s="94"/>
      <c r="BS636" s="94"/>
      <c r="BT636" s="94"/>
      <c r="BU636" s="94"/>
      <c r="BV636" s="94"/>
      <c r="BW636" s="94"/>
      <c r="BX636" s="94"/>
      <c r="BY636" s="94"/>
      <c r="BZ636" s="94"/>
      <c r="CA636" s="94"/>
      <c r="CB636" s="94"/>
      <c r="CC636" s="94"/>
      <c r="CD636" s="94"/>
      <c r="CE636" s="94"/>
      <c r="CF636" s="94"/>
      <c r="CG636" s="94"/>
      <c r="CH636" s="94"/>
      <c r="CI636" s="94"/>
      <c r="CJ636" s="94"/>
      <c r="CK636" s="94"/>
      <c r="CL636" s="94"/>
      <c r="CM636" s="94"/>
      <c r="CN636" s="94"/>
      <c r="CO636" s="94"/>
      <c r="CP636" s="94"/>
      <c r="CQ636" s="94"/>
      <c r="CR636" s="94"/>
      <c r="CS636" s="94"/>
      <c r="CT636" s="94"/>
      <c r="CU636" s="94"/>
      <c r="CV636" s="94"/>
      <c r="CW636" s="94"/>
      <c r="CX636" s="94"/>
      <c r="CY636" s="94"/>
      <c r="CZ636" s="94"/>
      <c r="DA636" s="94"/>
      <c r="DB636" s="94"/>
      <c r="DC636" s="94"/>
      <c r="DD636" s="94"/>
      <c r="DE636" s="94"/>
      <c r="DF636" s="94"/>
      <c r="DG636" s="94"/>
      <c r="DH636" s="94"/>
      <c r="DI636" s="94"/>
      <c r="DJ636" s="94"/>
      <c r="DK636" s="94"/>
      <c r="DL636" s="94"/>
      <c r="DM636" s="94"/>
      <c r="DN636" s="94"/>
      <c r="DO636" s="94"/>
      <c r="DP636" s="94"/>
      <c r="DQ636" s="94"/>
      <c r="DR636" s="94"/>
      <c r="DS636" s="94"/>
      <c r="DT636" s="94"/>
      <c r="DU636" s="94"/>
      <c r="DV636" s="94"/>
      <c r="DW636" s="94"/>
      <c r="DX636" s="94"/>
      <c r="DY636" s="94"/>
      <c r="DZ636" s="94"/>
      <c r="EA636" s="94"/>
      <c r="EB636" s="94"/>
      <c r="EC636" s="94"/>
      <c r="ED636" s="94"/>
      <c r="EE636" s="94"/>
      <c r="EF636" s="94"/>
      <c r="EG636" s="94"/>
      <c r="EH636" s="94"/>
      <c r="EI636" s="94"/>
      <c r="EJ636" s="94"/>
      <c r="EK636" s="94"/>
      <c r="EL636" s="94"/>
      <c r="EM636" s="94"/>
      <c r="EN636" s="94"/>
      <c r="EO636" s="94"/>
      <c r="EP636" s="94"/>
      <c r="EQ636" s="94"/>
      <c r="ER636" s="94"/>
      <c r="ES636" s="94"/>
      <c r="ET636" s="94"/>
      <c r="EU636" s="94"/>
      <c r="EV636" s="94"/>
      <c r="EW636" s="94"/>
      <c r="EX636" s="94"/>
      <c r="EY636" s="94"/>
      <c r="EZ636" s="94"/>
      <c r="FA636" s="94"/>
      <c r="FB636" s="94"/>
      <c r="FC636" s="94"/>
      <c r="FD636" s="94"/>
      <c r="FE636" s="94"/>
      <c r="FF636" s="94"/>
      <c r="FG636" s="94"/>
      <c r="FH636" s="94"/>
      <c r="FI636" s="94"/>
      <c r="FJ636" s="94"/>
      <c r="FK636" s="94"/>
      <c r="FL636" s="94"/>
      <c r="FM636" s="94"/>
      <c r="FN636" s="94"/>
      <c r="FO636" s="94"/>
      <c r="FP636" s="94"/>
      <c r="FQ636" s="94"/>
      <c r="FR636" s="94"/>
      <c r="FS636" s="94"/>
      <c r="FT636" s="94"/>
      <c r="FU636" s="94"/>
    </row>
    <row r="637" spans="1:177" s="134" customFormat="1" ht="21" customHeight="1" thickBot="1" x14ac:dyDescent="0.25">
      <c r="A637" s="94"/>
      <c r="B637" s="30" t="s">
        <v>30</v>
      </c>
      <c r="C637" s="6" t="s">
        <v>31</v>
      </c>
      <c r="D637" s="30" t="s">
        <v>105</v>
      </c>
      <c r="E637" s="32" t="s">
        <v>32</v>
      </c>
      <c r="F637" s="467"/>
      <c r="G637" s="33" t="s">
        <v>33</v>
      </c>
      <c r="H637" s="34">
        <v>45657</v>
      </c>
      <c r="I637" s="35">
        <v>2023</v>
      </c>
      <c r="J637" s="35"/>
      <c r="K637" s="35"/>
      <c r="L637" s="35"/>
      <c r="M637" s="36"/>
      <c r="N637" s="37"/>
      <c r="O637" s="38">
        <v>2024</v>
      </c>
      <c r="P637" s="39" t="s">
        <v>34</v>
      </c>
      <c r="Q637" s="40" t="s">
        <v>35</v>
      </c>
      <c r="R637" s="39" t="s">
        <v>36</v>
      </c>
      <c r="S637" s="41" t="s">
        <v>37</v>
      </c>
      <c r="T637" s="42" t="s">
        <v>38</v>
      </c>
      <c r="U637" s="43" t="s">
        <v>39</v>
      </c>
      <c r="V637" s="41" t="s">
        <v>39</v>
      </c>
      <c r="W637" s="44" t="s">
        <v>15</v>
      </c>
      <c r="X637" s="45" t="s">
        <v>35</v>
      </c>
      <c r="Y637" s="42" t="s">
        <v>35</v>
      </c>
      <c r="Z637" s="40" t="s">
        <v>35</v>
      </c>
      <c r="AA637" s="46" t="s">
        <v>35</v>
      </c>
      <c r="AB637" s="41" t="s">
        <v>35</v>
      </c>
      <c r="AC637" s="40" t="s">
        <v>35</v>
      </c>
      <c r="AD637" s="40" t="s">
        <v>35</v>
      </c>
      <c r="AE637" s="40" t="s">
        <v>35</v>
      </c>
      <c r="AF637" s="41" t="s">
        <v>35</v>
      </c>
      <c r="AG637" s="40" t="s">
        <v>35</v>
      </c>
      <c r="AH637" s="135"/>
      <c r="AI637" s="135"/>
      <c r="AJ637" s="30" t="s">
        <v>30</v>
      </c>
      <c r="AK637" s="6" t="s">
        <v>31</v>
      </c>
      <c r="AL637" s="30" t="s">
        <v>105</v>
      </c>
      <c r="AM637" s="32" t="s">
        <v>32</v>
      </c>
      <c r="AN637" s="467"/>
      <c r="AO637" s="46" t="s">
        <v>40</v>
      </c>
      <c r="AP637" s="39" t="s">
        <v>41</v>
      </c>
      <c r="AQ637" s="48" t="s">
        <v>40</v>
      </c>
      <c r="AR637" s="49" t="s">
        <v>40</v>
      </c>
      <c r="AS637" s="49" t="s">
        <v>40</v>
      </c>
      <c r="AT637" s="46" t="s">
        <v>40</v>
      </c>
      <c r="AU637" s="49" t="s">
        <v>40</v>
      </c>
      <c r="AV637" s="48" t="s">
        <v>40</v>
      </c>
      <c r="AW637" s="49" t="s">
        <v>40</v>
      </c>
      <c r="AX637" s="49" t="s">
        <v>40</v>
      </c>
      <c r="AY637" s="48" t="s">
        <v>40</v>
      </c>
      <c r="AZ637" s="49" t="s">
        <v>40</v>
      </c>
      <c r="BA637" s="94"/>
      <c r="BB637" s="92"/>
      <c r="BC637" s="95"/>
      <c r="BD637" s="95"/>
      <c r="BE637" s="95"/>
      <c r="BF637" s="94"/>
      <c r="BG637" s="94"/>
      <c r="BH637" s="94"/>
      <c r="BI637" s="94"/>
      <c r="BJ637" s="94"/>
      <c r="BK637" s="94"/>
      <c r="BL637" s="94"/>
      <c r="BM637" s="94"/>
      <c r="BN637" s="94"/>
      <c r="BO637" s="94"/>
      <c r="BP637" s="94"/>
      <c r="BQ637" s="94"/>
      <c r="BR637" s="94"/>
      <c r="BS637" s="94"/>
      <c r="BT637" s="94"/>
      <c r="BU637" s="94"/>
      <c r="BV637" s="94"/>
      <c r="BW637" s="94"/>
      <c r="BX637" s="94"/>
      <c r="BY637" s="94"/>
      <c r="BZ637" s="94"/>
      <c r="CA637" s="94"/>
      <c r="CB637" s="94"/>
      <c r="CC637" s="94"/>
      <c r="CD637" s="94"/>
      <c r="CE637" s="94"/>
      <c r="CF637" s="94"/>
      <c r="CG637" s="94"/>
      <c r="CH637" s="94"/>
      <c r="CI637" s="94"/>
      <c r="CJ637" s="94"/>
      <c r="CK637" s="94"/>
      <c r="CL637" s="94"/>
      <c r="CM637" s="94"/>
      <c r="CN637" s="94"/>
      <c r="CO637" s="94"/>
      <c r="CP637" s="94"/>
      <c r="CQ637" s="94"/>
      <c r="CR637" s="94"/>
      <c r="CS637" s="94"/>
      <c r="CT637" s="94"/>
      <c r="CU637" s="94"/>
      <c r="CV637" s="94"/>
      <c r="CW637" s="94"/>
      <c r="CX637" s="94"/>
      <c r="CY637" s="94"/>
      <c r="CZ637" s="94"/>
      <c r="DA637" s="94"/>
      <c r="DB637" s="94"/>
      <c r="DC637" s="94"/>
      <c r="DD637" s="94"/>
      <c r="DE637" s="94"/>
      <c r="DF637" s="94"/>
      <c r="DG637" s="94"/>
      <c r="DH637" s="94"/>
      <c r="DI637" s="94"/>
      <c r="DJ637" s="94"/>
      <c r="DK637" s="94"/>
      <c r="DL637" s="94"/>
      <c r="DM637" s="94"/>
      <c r="DN637" s="94"/>
      <c r="DO637" s="94"/>
      <c r="DP637" s="94"/>
      <c r="DQ637" s="94"/>
      <c r="DR637" s="94"/>
      <c r="DS637" s="94"/>
      <c r="DT637" s="94"/>
      <c r="DU637" s="94"/>
      <c r="DV637" s="94"/>
      <c r="DW637" s="94"/>
      <c r="DX637" s="94"/>
      <c r="DY637" s="94"/>
      <c r="DZ637" s="94"/>
      <c r="EA637" s="94"/>
      <c r="EB637" s="94"/>
      <c r="EC637" s="94"/>
      <c r="ED637" s="94"/>
      <c r="EE637" s="94"/>
      <c r="EF637" s="94"/>
      <c r="EG637" s="94"/>
      <c r="EH637" s="94"/>
      <c r="EI637" s="94"/>
      <c r="EJ637" s="94"/>
      <c r="EK637" s="94"/>
      <c r="EL637" s="94"/>
      <c r="EM637" s="94"/>
      <c r="EN637" s="94"/>
      <c r="EO637" s="94"/>
      <c r="EP637" s="94"/>
      <c r="EQ637" s="94"/>
      <c r="ER637" s="94"/>
      <c r="ES637" s="94"/>
      <c r="ET637" s="94"/>
      <c r="EU637" s="94"/>
      <c r="EV637" s="94"/>
      <c r="EW637" s="94"/>
      <c r="EX637" s="94"/>
      <c r="EY637" s="94"/>
      <c r="EZ637" s="94"/>
      <c r="FA637" s="94"/>
      <c r="FB637" s="94"/>
      <c r="FC637" s="94"/>
      <c r="FD637" s="94"/>
      <c r="FE637" s="94"/>
      <c r="FF637" s="94"/>
      <c r="FG637" s="94"/>
      <c r="FH637" s="94"/>
      <c r="FI637" s="94"/>
      <c r="FJ637" s="94"/>
      <c r="FK637" s="94"/>
      <c r="FL637" s="94"/>
      <c r="FM637" s="94"/>
      <c r="FN637" s="94"/>
      <c r="FO637" s="94"/>
      <c r="FP637" s="94"/>
      <c r="FQ637" s="94"/>
      <c r="FR637" s="94"/>
      <c r="FS637" s="94"/>
      <c r="FT637" s="94"/>
      <c r="FU637" s="94"/>
    </row>
    <row r="638" spans="1:177" ht="21" customHeight="1" x14ac:dyDescent="0.2">
      <c r="B638" s="51">
        <v>1</v>
      </c>
      <c r="C638" s="77" t="s">
        <v>42</v>
      </c>
      <c r="D638" s="51">
        <v>15091</v>
      </c>
      <c r="E638" s="77" t="s">
        <v>853</v>
      </c>
      <c r="F638" s="72" t="s">
        <v>854</v>
      </c>
      <c r="G638" s="56">
        <v>44479</v>
      </c>
      <c r="H638" s="56" t="str">
        <f xml:space="preserve"> CONCATENATE(DATEDIF(G638,H$5,"Y")," AÑOS")</f>
        <v>3 AÑOS</v>
      </c>
      <c r="I638" s="75">
        <v>12182.815041818607</v>
      </c>
      <c r="J638" s="75"/>
      <c r="K638" s="75"/>
      <c r="L638" s="137"/>
      <c r="M638" s="60">
        <v>4.0000000000000002E-4</v>
      </c>
      <c r="N638" s="61">
        <f>I638*0.04</f>
        <v>487.31260167274428</v>
      </c>
      <c r="O638" s="58">
        <f>I638+N638</f>
        <v>12670.127643491351</v>
      </c>
      <c r="P638" s="61">
        <f t="shared" ref="P638:P703" si="802">O638*2</f>
        <v>25340.255286982701</v>
      </c>
      <c r="Q638" s="61">
        <f t="shared" ref="Q638:Q703" si="803">P638*0.75</f>
        <v>19005.191465237025</v>
      </c>
      <c r="R638" s="61">
        <f t="shared" ref="R638:R703" si="804">P638*0.25</f>
        <v>6335.0638217456753</v>
      </c>
      <c r="S638" s="61">
        <f t="shared" ref="S638:S703" si="805">(P638/30)</f>
        <v>844.67517623275671</v>
      </c>
      <c r="T638" s="58">
        <f t="shared" ref="T638:T703" si="806">S638*1.1479</f>
        <v>969.60263479758135</v>
      </c>
      <c r="U638" s="61">
        <f t="shared" ref="U638:U703" si="807">O638*0.75</f>
        <v>9502.5957326185126</v>
      </c>
      <c r="V638" s="58">
        <f t="shared" ref="V638:V703" si="808">O638*0.25</f>
        <v>3167.5319108728377</v>
      </c>
      <c r="W638" s="62">
        <v>0</v>
      </c>
      <c r="X638" s="63">
        <f>P638*W638</f>
        <v>0</v>
      </c>
      <c r="Y638" s="61">
        <v>2413.3849449746285</v>
      </c>
      <c r="Z638" s="61">
        <v>0</v>
      </c>
      <c r="AA638" s="61">
        <f>(S638*45)/12</f>
        <v>3167.5319108728377</v>
      </c>
      <c r="AB638" s="61">
        <f>(S638*10)*(0.45*2)/12</f>
        <v>633.50638217456753</v>
      </c>
      <c r="AC638" s="61">
        <v>3654.1495744404451</v>
      </c>
      <c r="AD638" s="61">
        <v>2541.376985936201</v>
      </c>
      <c r="AE638" s="61">
        <v>1502.884083936251</v>
      </c>
      <c r="AF638" s="61">
        <v>0</v>
      </c>
      <c r="AG638" s="61">
        <f>(P638+AA638+AB638)*0.03</f>
        <v>874.23880740090317</v>
      </c>
      <c r="AH638" s="64"/>
      <c r="AI638" s="64"/>
      <c r="AJ638" s="51">
        <v>1</v>
      </c>
      <c r="AK638" s="77" t="s">
        <v>42</v>
      </c>
      <c r="AL638" s="51">
        <v>15091</v>
      </c>
      <c r="AM638" s="77" t="s">
        <v>853</v>
      </c>
      <c r="AN638" s="72" t="s">
        <v>854</v>
      </c>
      <c r="AO638" s="138">
        <f>Q638*12</f>
        <v>228062.2975828443</v>
      </c>
      <c r="AP638" s="65">
        <f>R638*12</f>
        <v>76020.7658609481</v>
      </c>
      <c r="AQ638" s="65">
        <f t="shared" ref="AQ638:AZ638" si="809">X638*12</f>
        <v>0</v>
      </c>
      <c r="AR638" s="65">
        <f t="shared" si="809"/>
        <v>28960.619339695542</v>
      </c>
      <c r="AS638" s="65">
        <f t="shared" si="809"/>
        <v>0</v>
      </c>
      <c r="AT638" s="65">
        <f t="shared" si="809"/>
        <v>38010.38293047405</v>
      </c>
      <c r="AU638" s="65">
        <f t="shared" si="809"/>
        <v>7602.0765860948104</v>
      </c>
      <c r="AV638" s="65">
        <f t="shared" si="809"/>
        <v>43849.79489328534</v>
      </c>
      <c r="AW638" s="65">
        <f t="shared" si="809"/>
        <v>30496.523831234412</v>
      </c>
      <c r="AX638" s="65">
        <f t="shared" si="809"/>
        <v>18034.609007235013</v>
      </c>
      <c r="AY638" s="65">
        <f t="shared" si="809"/>
        <v>0</v>
      </c>
      <c r="AZ638" s="65">
        <f t="shared" si="809"/>
        <v>10490.865688810838</v>
      </c>
      <c r="BB638" s="64"/>
      <c r="BC638" s="66"/>
      <c r="BD638" s="66"/>
      <c r="BE638" s="66"/>
    </row>
    <row r="639" spans="1:177" s="96" customFormat="1" ht="21" customHeight="1" x14ac:dyDescent="0.2">
      <c r="A639" s="50"/>
      <c r="B639" s="468" t="s">
        <v>65</v>
      </c>
      <c r="C639" s="469"/>
      <c r="D639" s="469"/>
      <c r="E639" s="469"/>
      <c r="F639" s="470"/>
      <c r="G639" s="139"/>
      <c r="H639" s="274"/>
      <c r="I639" s="91">
        <f>SUM(I638)</f>
        <v>12182.815041818607</v>
      </c>
      <c r="J639" s="91">
        <f t="shared" ref="J639:AG639" si="810">SUM(J638)</f>
        <v>0</v>
      </c>
      <c r="K639" s="91">
        <f t="shared" si="810"/>
        <v>0</v>
      </c>
      <c r="L639" s="140">
        <f t="shared" si="810"/>
        <v>0</v>
      </c>
      <c r="M639" s="91">
        <f t="shared" si="810"/>
        <v>4.0000000000000002E-4</v>
      </c>
      <c r="N639" s="91">
        <f t="shared" si="810"/>
        <v>487.31260167274428</v>
      </c>
      <c r="O639" s="91">
        <f t="shared" si="810"/>
        <v>12670.127643491351</v>
      </c>
      <c r="P639" s="91">
        <f t="shared" si="810"/>
        <v>25340.255286982701</v>
      </c>
      <c r="Q639" s="91">
        <f t="shared" si="810"/>
        <v>19005.191465237025</v>
      </c>
      <c r="R639" s="91">
        <f t="shared" si="810"/>
        <v>6335.0638217456753</v>
      </c>
      <c r="S639" s="91">
        <f t="shared" si="810"/>
        <v>844.67517623275671</v>
      </c>
      <c r="T639" s="91">
        <f t="shared" si="810"/>
        <v>969.60263479758135</v>
      </c>
      <c r="U639" s="141">
        <f t="shared" si="810"/>
        <v>9502.5957326185126</v>
      </c>
      <c r="V639" s="91">
        <f t="shared" si="810"/>
        <v>3167.5319108728377</v>
      </c>
      <c r="W639" s="91">
        <f t="shared" si="810"/>
        <v>0</v>
      </c>
      <c r="X639" s="91">
        <f t="shared" si="810"/>
        <v>0</v>
      </c>
      <c r="Y639" s="91">
        <f t="shared" si="810"/>
        <v>2413.3849449746285</v>
      </c>
      <c r="Z639" s="91">
        <f t="shared" si="810"/>
        <v>0</v>
      </c>
      <c r="AA639" s="91">
        <f t="shared" si="810"/>
        <v>3167.5319108728377</v>
      </c>
      <c r="AB639" s="91">
        <f t="shared" si="810"/>
        <v>633.50638217456753</v>
      </c>
      <c r="AC639" s="91">
        <f t="shared" si="810"/>
        <v>3654.1495744404451</v>
      </c>
      <c r="AD639" s="91">
        <f t="shared" si="810"/>
        <v>2541.376985936201</v>
      </c>
      <c r="AE639" s="91">
        <f t="shared" si="810"/>
        <v>1502.884083936251</v>
      </c>
      <c r="AF639" s="91">
        <f t="shared" si="810"/>
        <v>0</v>
      </c>
      <c r="AG639" s="91">
        <f t="shared" si="810"/>
        <v>874.23880740090317</v>
      </c>
      <c r="AH639" s="92"/>
      <c r="AI639" s="92"/>
      <c r="AJ639" s="468" t="s">
        <v>65</v>
      </c>
      <c r="AK639" s="469"/>
      <c r="AL639" s="469"/>
      <c r="AM639" s="469"/>
      <c r="AN639" s="470"/>
      <c r="AO639" s="144">
        <f>SUM(AO638)</f>
        <v>228062.2975828443</v>
      </c>
      <c r="AP639" s="144">
        <f t="shared" ref="AP639:AZ639" si="811">SUM(AP638)</f>
        <v>76020.7658609481</v>
      </c>
      <c r="AQ639" s="144">
        <f t="shared" si="811"/>
        <v>0</v>
      </c>
      <c r="AR639" s="144">
        <f t="shared" si="811"/>
        <v>28960.619339695542</v>
      </c>
      <c r="AS639" s="144">
        <f t="shared" si="811"/>
        <v>0</v>
      </c>
      <c r="AT639" s="144">
        <f t="shared" si="811"/>
        <v>38010.38293047405</v>
      </c>
      <c r="AU639" s="144">
        <f t="shared" si="811"/>
        <v>7602.0765860948104</v>
      </c>
      <c r="AV639" s="144">
        <f t="shared" si="811"/>
        <v>43849.79489328534</v>
      </c>
      <c r="AW639" s="144">
        <f t="shared" si="811"/>
        <v>30496.523831234412</v>
      </c>
      <c r="AX639" s="144">
        <f t="shared" si="811"/>
        <v>18034.609007235013</v>
      </c>
      <c r="AY639" s="144">
        <f t="shared" si="811"/>
        <v>0</v>
      </c>
      <c r="AZ639" s="144">
        <f t="shared" si="811"/>
        <v>10490.865688810838</v>
      </c>
      <c r="BA639" s="94"/>
      <c r="BB639" s="92"/>
      <c r="BC639" s="95"/>
      <c r="BD639" s="95"/>
      <c r="BE639" s="95"/>
      <c r="BF639" s="50"/>
      <c r="BG639" s="50"/>
      <c r="BH639" s="50"/>
      <c r="BI639" s="50"/>
      <c r="BJ639" s="50"/>
      <c r="BK639" s="50"/>
      <c r="BL639" s="50"/>
      <c r="BM639" s="50"/>
      <c r="BN639" s="50"/>
      <c r="BO639" s="50"/>
      <c r="BP639" s="50"/>
      <c r="BQ639" s="50"/>
      <c r="BR639" s="50"/>
      <c r="BS639" s="50"/>
      <c r="BT639" s="50"/>
      <c r="BU639" s="50"/>
      <c r="BV639" s="50"/>
      <c r="BW639" s="50"/>
      <c r="BX639" s="50"/>
      <c r="BY639" s="50"/>
      <c r="BZ639" s="50"/>
      <c r="CA639" s="50"/>
      <c r="CB639" s="50"/>
      <c r="CC639" s="50"/>
      <c r="CD639" s="50"/>
      <c r="CE639" s="50"/>
      <c r="CF639" s="50"/>
      <c r="CG639" s="50"/>
      <c r="CH639" s="50"/>
      <c r="CI639" s="50"/>
      <c r="CJ639" s="50"/>
      <c r="CK639" s="50"/>
      <c r="CL639" s="50"/>
      <c r="CM639" s="50"/>
      <c r="CN639" s="50"/>
      <c r="CO639" s="50"/>
      <c r="CP639" s="50"/>
      <c r="CQ639" s="50"/>
      <c r="CR639" s="50"/>
      <c r="CS639" s="50"/>
      <c r="CT639" s="50"/>
      <c r="CU639" s="50"/>
      <c r="CV639" s="50"/>
      <c r="CW639" s="50"/>
      <c r="CX639" s="50"/>
      <c r="CY639" s="50"/>
      <c r="CZ639" s="50"/>
      <c r="DA639" s="50"/>
      <c r="DB639" s="50"/>
      <c r="DC639" s="50"/>
      <c r="DD639" s="50"/>
      <c r="DE639" s="50"/>
      <c r="DF639" s="50"/>
      <c r="DG639" s="50"/>
      <c r="DH639" s="50"/>
      <c r="DI639" s="50"/>
      <c r="DJ639" s="50"/>
      <c r="DK639" s="50"/>
      <c r="DL639" s="50"/>
      <c r="DM639" s="50"/>
      <c r="DN639" s="50"/>
      <c r="DO639" s="50"/>
      <c r="DP639" s="50"/>
      <c r="DQ639" s="50"/>
      <c r="DR639" s="50"/>
      <c r="DS639" s="50"/>
      <c r="DT639" s="50"/>
      <c r="DU639" s="50"/>
      <c r="DV639" s="50"/>
      <c r="DW639" s="50"/>
      <c r="DX639" s="50"/>
      <c r="DY639" s="50"/>
      <c r="DZ639" s="50"/>
      <c r="EA639" s="50"/>
      <c r="EB639" s="50"/>
      <c r="EC639" s="50"/>
      <c r="ED639" s="50"/>
      <c r="EE639" s="50"/>
      <c r="EF639" s="50"/>
      <c r="EG639" s="50"/>
      <c r="EH639" s="50"/>
      <c r="EI639" s="50"/>
      <c r="EJ639" s="50"/>
      <c r="EK639" s="50"/>
      <c r="EL639" s="50"/>
      <c r="EM639" s="50"/>
      <c r="EN639" s="50"/>
      <c r="EO639" s="50"/>
      <c r="EP639" s="50"/>
      <c r="EQ639" s="50"/>
      <c r="ER639" s="50"/>
      <c r="ES639" s="50"/>
      <c r="ET639" s="50"/>
      <c r="EU639" s="50"/>
      <c r="EV639" s="50"/>
      <c r="EW639" s="50"/>
      <c r="EX639" s="50"/>
      <c r="EY639" s="50"/>
      <c r="EZ639" s="50"/>
      <c r="FA639" s="50"/>
      <c r="FB639" s="50"/>
      <c r="FC639" s="50"/>
      <c r="FD639" s="50"/>
      <c r="FE639" s="50"/>
      <c r="FF639" s="50"/>
      <c r="FG639" s="50"/>
      <c r="FH639" s="50"/>
      <c r="FI639" s="50"/>
      <c r="FJ639" s="50"/>
      <c r="FK639" s="50"/>
      <c r="FL639" s="50"/>
      <c r="FM639" s="50"/>
      <c r="FN639" s="50"/>
      <c r="FO639" s="50"/>
      <c r="FP639" s="50"/>
      <c r="FQ639" s="50"/>
      <c r="FR639" s="50"/>
      <c r="FS639" s="50"/>
      <c r="FT639" s="50"/>
      <c r="FU639" s="50"/>
    </row>
    <row r="640" spans="1:177" ht="21" customHeight="1" x14ac:dyDescent="0.2">
      <c r="B640" s="67">
        <v>2</v>
      </c>
      <c r="C640" s="73" t="s">
        <v>66</v>
      </c>
      <c r="D640" s="127">
        <v>15081</v>
      </c>
      <c r="E640" s="192" t="s">
        <v>855</v>
      </c>
      <c r="F640" s="79" t="s">
        <v>856</v>
      </c>
      <c r="G640" s="157">
        <v>43770</v>
      </c>
      <c r="H640" s="56" t="str">
        <f t="shared" ref="H640:H684" si="812" xml:space="preserve"> CONCATENATE(DATEDIF(G640,H$5,"Y")," AÑOS")</f>
        <v>5 AÑOS</v>
      </c>
      <c r="I640" s="75">
        <v>4197.8326227181778</v>
      </c>
      <c r="J640" s="75"/>
      <c r="K640" s="75"/>
      <c r="L640" s="137"/>
      <c r="M640" s="60">
        <v>4.0000000000000002E-4</v>
      </c>
      <c r="N640" s="61">
        <f t="shared" ref="N640:N660" si="813">I640*0.04</f>
        <v>167.91330490872713</v>
      </c>
      <c r="O640" s="58">
        <f t="shared" ref="O640:O660" si="814">I640+N640</f>
        <v>4365.7459276269046</v>
      </c>
      <c r="P640" s="61">
        <f t="shared" si="802"/>
        <v>8731.4918552538093</v>
      </c>
      <c r="Q640" s="61">
        <f t="shared" si="803"/>
        <v>6548.6188914403574</v>
      </c>
      <c r="R640" s="61">
        <f t="shared" si="804"/>
        <v>2182.8729638134523</v>
      </c>
      <c r="S640" s="61">
        <f t="shared" si="805"/>
        <v>291.0497285084603</v>
      </c>
      <c r="T640" s="58">
        <f t="shared" si="806"/>
        <v>334.09598335486157</v>
      </c>
      <c r="U640" s="61">
        <f t="shared" si="807"/>
        <v>3274.3094457201787</v>
      </c>
      <c r="V640" s="58">
        <f t="shared" si="808"/>
        <v>1091.4364819067262</v>
      </c>
      <c r="W640" s="101">
        <v>2.5000000000000001E-2</v>
      </c>
      <c r="X640" s="63">
        <f t="shared" ref="X640:X660" si="815">P640*W640</f>
        <v>218.28729638134524</v>
      </c>
      <c r="Y640" s="61">
        <v>149.32899938871083</v>
      </c>
      <c r="Z640" s="61">
        <v>0</v>
      </c>
      <c r="AA640" s="61">
        <f t="shared" ref="AA640:AA660" si="816">(S640*45)/12</f>
        <v>1091.4364819067262</v>
      </c>
      <c r="AB640" s="61">
        <f t="shared" ref="AB640:AB660" si="817">(S640*10)*(0.45*2)/12</f>
        <v>218.28729638134521</v>
      </c>
      <c r="AC640" s="61">
        <v>1618.5484959525027</v>
      </c>
      <c r="AD640" s="61">
        <v>816.64751691345589</v>
      </c>
      <c r="AE640" s="61">
        <v>517.84877420003545</v>
      </c>
      <c r="AF640" s="61">
        <v>0</v>
      </c>
      <c r="AG640" s="61">
        <f t="shared" ref="AG640:AG660" si="818">(P640+AA640+AB640)*0.03</f>
        <v>301.23646900625647</v>
      </c>
      <c r="AH640" s="64"/>
      <c r="AI640" s="64"/>
      <c r="AJ640" s="67">
        <v>2</v>
      </c>
      <c r="AK640" s="73" t="s">
        <v>66</v>
      </c>
      <c r="AL640" s="127">
        <v>15081</v>
      </c>
      <c r="AM640" s="192" t="s">
        <v>855</v>
      </c>
      <c r="AN640" s="79" t="s">
        <v>856</v>
      </c>
      <c r="AO640" s="138">
        <f t="shared" ref="AO640:AO648" si="819">Q640*12</f>
        <v>78583.426697284289</v>
      </c>
      <c r="AP640" s="65">
        <f t="shared" ref="AP640:AP648" si="820">R640*12</f>
        <v>26194.47556576143</v>
      </c>
      <c r="AQ640" s="65">
        <f t="shared" ref="AQ640:AQ648" si="821">X640*12</f>
        <v>2619.4475565761431</v>
      </c>
      <c r="AR640" s="65">
        <f t="shared" ref="AR640:AR648" si="822">Y640*12</f>
        <v>1791.9479926645299</v>
      </c>
      <c r="AS640" s="65">
        <f t="shared" ref="AS640:AS648" si="823">Z640*12</f>
        <v>0</v>
      </c>
      <c r="AT640" s="65">
        <f t="shared" ref="AT640:AT648" si="824">AA640*12</f>
        <v>13097.237782880715</v>
      </c>
      <c r="AU640" s="65">
        <f t="shared" ref="AU640:AU648" si="825">AB640*12</f>
        <v>2619.4475565761427</v>
      </c>
      <c r="AV640" s="65">
        <f t="shared" ref="AV640:AV648" si="826">AC640*12</f>
        <v>19422.581951430031</v>
      </c>
      <c r="AW640" s="65">
        <f t="shared" ref="AW640:AW648" si="827">AD640*12</f>
        <v>9799.7702029614702</v>
      </c>
      <c r="AX640" s="65">
        <f t="shared" ref="AX640:AX648" si="828">AE640*12</f>
        <v>6214.1852904004254</v>
      </c>
      <c r="AY640" s="65">
        <f t="shared" ref="AY640:AY648" si="829">AF640*12</f>
        <v>0</v>
      </c>
      <c r="AZ640" s="65">
        <f t="shared" ref="AZ640:AZ648" si="830">AG640*12</f>
        <v>3614.8376280750776</v>
      </c>
      <c r="BB640" s="64"/>
      <c r="BC640" s="66"/>
      <c r="BD640" s="66"/>
      <c r="BE640" s="66"/>
    </row>
    <row r="641" spans="2:57" ht="21" customHeight="1" x14ac:dyDescent="0.2">
      <c r="B641" s="67">
        <v>3</v>
      </c>
      <c r="C641" s="73" t="s">
        <v>66</v>
      </c>
      <c r="D641" s="67">
        <v>15063</v>
      </c>
      <c r="E641" s="72" t="s">
        <v>857</v>
      </c>
      <c r="F641" s="79" t="s">
        <v>858</v>
      </c>
      <c r="G641" s="55">
        <v>40850</v>
      </c>
      <c r="H641" s="56" t="str">
        <f t="shared" si="812"/>
        <v>13 AÑOS</v>
      </c>
      <c r="I641" s="57">
        <v>4197.8327533317906</v>
      </c>
      <c r="J641" s="58"/>
      <c r="K641" s="58"/>
      <c r="L641" s="59"/>
      <c r="M641" s="60">
        <v>4.0000000000000002E-4</v>
      </c>
      <c r="N641" s="61">
        <f t="shared" si="813"/>
        <v>167.91331013327164</v>
      </c>
      <c r="O641" s="58">
        <f t="shared" si="814"/>
        <v>4365.7460634650624</v>
      </c>
      <c r="P641" s="61">
        <f t="shared" si="802"/>
        <v>8731.4921269301249</v>
      </c>
      <c r="Q641" s="61">
        <f t="shared" si="803"/>
        <v>6548.6190951975932</v>
      </c>
      <c r="R641" s="61">
        <f t="shared" si="804"/>
        <v>2182.8730317325312</v>
      </c>
      <c r="S641" s="61">
        <f t="shared" si="805"/>
        <v>291.04973756433748</v>
      </c>
      <c r="T641" s="58">
        <f t="shared" si="806"/>
        <v>334.09599375010299</v>
      </c>
      <c r="U641" s="61">
        <f t="shared" si="807"/>
        <v>3274.3095475987966</v>
      </c>
      <c r="V641" s="58">
        <f t="shared" si="808"/>
        <v>1091.4365158662656</v>
      </c>
      <c r="W641" s="101">
        <v>0.05</v>
      </c>
      <c r="X641" s="63">
        <f t="shared" si="815"/>
        <v>436.57460634650624</v>
      </c>
      <c r="Y641" s="61">
        <v>149.32902155749809</v>
      </c>
      <c r="Z641" s="61">
        <v>0</v>
      </c>
      <c r="AA641" s="61">
        <f t="shared" si="816"/>
        <v>1091.4365158662656</v>
      </c>
      <c r="AB641" s="61">
        <f t="shared" si="817"/>
        <v>218.28730317325312</v>
      </c>
      <c r="AC641" s="61">
        <v>1618.5485292496594</v>
      </c>
      <c r="AD641" s="61">
        <v>816.64754232306427</v>
      </c>
      <c r="AE641" s="61">
        <v>517.84879031265962</v>
      </c>
      <c r="AF641" s="61">
        <v>0</v>
      </c>
      <c r="AG641" s="61">
        <f t="shared" si="818"/>
        <v>301.23647837908931</v>
      </c>
      <c r="AH641" s="64"/>
      <c r="AI641" s="64"/>
      <c r="AJ641" s="67">
        <v>3</v>
      </c>
      <c r="AK641" s="73" t="s">
        <v>66</v>
      </c>
      <c r="AL641" s="67">
        <v>15063</v>
      </c>
      <c r="AM641" s="72" t="s">
        <v>857</v>
      </c>
      <c r="AN641" s="79" t="s">
        <v>858</v>
      </c>
      <c r="AO641" s="138">
        <f t="shared" si="819"/>
        <v>78583.429142371111</v>
      </c>
      <c r="AP641" s="65">
        <f t="shared" si="820"/>
        <v>26194.476380790373</v>
      </c>
      <c r="AQ641" s="65">
        <f t="shared" si="821"/>
        <v>5238.8952761580749</v>
      </c>
      <c r="AR641" s="65">
        <f t="shared" si="822"/>
        <v>1791.9482586899771</v>
      </c>
      <c r="AS641" s="65">
        <f t="shared" si="823"/>
        <v>0</v>
      </c>
      <c r="AT641" s="65">
        <f t="shared" si="824"/>
        <v>13097.238190395186</v>
      </c>
      <c r="AU641" s="65">
        <f t="shared" si="825"/>
        <v>2619.4476380790375</v>
      </c>
      <c r="AV641" s="65">
        <f t="shared" si="826"/>
        <v>19422.582350995912</v>
      </c>
      <c r="AW641" s="65">
        <f t="shared" si="827"/>
        <v>9799.7705078767722</v>
      </c>
      <c r="AX641" s="65">
        <f t="shared" si="828"/>
        <v>6214.1854837519149</v>
      </c>
      <c r="AY641" s="65">
        <f t="shared" si="829"/>
        <v>0</v>
      </c>
      <c r="AZ641" s="65">
        <f t="shared" si="830"/>
        <v>3614.8377405490719</v>
      </c>
      <c r="BB641" s="64"/>
      <c r="BC641" s="66"/>
      <c r="BD641" s="66"/>
      <c r="BE641" s="66"/>
    </row>
    <row r="642" spans="2:57" ht="21" customHeight="1" x14ac:dyDescent="0.2">
      <c r="B642" s="67">
        <v>4</v>
      </c>
      <c r="C642" s="73" t="s">
        <v>66</v>
      </c>
      <c r="D642" s="67">
        <v>15035</v>
      </c>
      <c r="E642" s="72" t="s">
        <v>859</v>
      </c>
      <c r="F642" s="79" t="s">
        <v>860</v>
      </c>
      <c r="G642" s="55">
        <v>37423</v>
      </c>
      <c r="H642" s="56" t="str">
        <f t="shared" si="812"/>
        <v>22 AÑOS</v>
      </c>
      <c r="I642" s="57">
        <v>4197.8327533317906</v>
      </c>
      <c r="J642" s="58"/>
      <c r="K642" s="58"/>
      <c r="L642" s="59"/>
      <c r="M642" s="60">
        <v>4.0000000000000002E-4</v>
      </c>
      <c r="N642" s="61">
        <f t="shared" si="813"/>
        <v>167.91331013327164</v>
      </c>
      <c r="O642" s="58">
        <f t="shared" si="814"/>
        <v>4365.7460634650624</v>
      </c>
      <c r="P642" s="61">
        <f t="shared" si="802"/>
        <v>8731.4921269301249</v>
      </c>
      <c r="Q642" s="61">
        <f t="shared" si="803"/>
        <v>6548.6190951975932</v>
      </c>
      <c r="R642" s="61">
        <f t="shared" si="804"/>
        <v>2182.8730317325312</v>
      </c>
      <c r="S642" s="61">
        <f t="shared" si="805"/>
        <v>291.04973756433748</v>
      </c>
      <c r="T642" s="58">
        <f t="shared" si="806"/>
        <v>334.09599375010299</v>
      </c>
      <c r="U642" s="61">
        <f t="shared" si="807"/>
        <v>3274.3095475987966</v>
      </c>
      <c r="V642" s="58">
        <f t="shared" si="808"/>
        <v>1091.4365158662656</v>
      </c>
      <c r="W642" s="101">
        <v>7.4999999999999997E-2</v>
      </c>
      <c r="X642" s="63">
        <f t="shared" si="815"/>
        <v>654.86190951975937</v>
      </c>
      <c r="Y642" s="61">
        <v>149.32902155749809</v>
      </c>
      <c r="Z642" s="61">
        <v>0</v>
      </c>
      <c r="AA642" s="61">
        <f t="shared" si="816"/>
        <v>1091.4365158662656</v>
      </c>
      <c r="AB642" s="61">
        <f t="shared" si="817"/>
        <v>218.28730317325312</v>
      </c>
      <c r="AC642" s="61">
        <v>1618.5485292496594</v>
      </c>
      <c r="AD642" s="61">
        <v>816.64754232306427</v>
      </c>
      <c r="AE642" s="61">
        <v>517.84879031265962</v>
      </c>
      <c r="AF642" s="61">
        <v>0</v>
      </c>
      <c r="AG642" s="61">
        <f t="shared" si="818"/>
        <v>301.23647837908931</v>
      </c>
      <c r="AH642" s="64"/>
      <c r="AI642" s="64"/>
      <c r="AJ642" s="67">
        <v>4</v>
      </c>
      <c r="AK642" s="73" t="s">
        <v>66</v>
      </c>
      <c r="AL642" s="67">
        <v>15035</v>
      </c>
      <c r="AM642" s="72" t="s">
        <v>859</v>
      </c>
      <c r="AN642" s="79" t="s">
        <v>860</v>
      </c>
      <c r="AO642" s="138">
        <f t="shared" si="819"/>
        <v>78583.429142371111</v>
      </c>
      <c r="AP642" s="65">
        <f t="shared" si="820"/>
        <v>26194.476380790373</v>
      </c>
      <c r="AQ642" s="65">
        <f t="shared" si="821"/>
        <v>7858.3429142371124</v>
      </c>
      <c r="AR642" s="65">
        <f t="shared" si="822"/>
        <v>1791.9482586899771</v>
      </c>
      <c r="AS642" s="65">
        <f t="shared" si="823"/>
        <v>0</v>
      </c>
      <c r="AT642" s="65">
        <f t="shared" si="824"/>
        <v>13097.238190395186</v>
      </c>
      <c r="AU642" s="65">
        <f t="shared" si="825"/>
        <v>2619.4476380790375</v>
      </c>
      <c r="AV642" s="65">
        <f t="shared" si="826"/>
        <v>19422.582350995912</v>
      </c>
      <c r="AW642" s="65">
        <f t="shared" si="827"/>
        <v>9799.7705078767722</v>
      </c>
      <c r="AX642" s="65">
        <f t="shared" si="828"/>
        <v>6214.1854837519149</v>
      </c>
      <c r="AY642" s="65">
        <f t="shared" si="829"/>
        <v>0</v>
      </c>
      <c r="AZ642" s="65">
        <f t="shared" si="830"/>
        <v>3614.8377405490719</v>
      </c>
      <c r="BB642" s="64"/>
      <c r="BC642" s="66"/>
      <c r="BD642" s="66"/>
      <c r="BE642" s="66"/>
    </row>
    <row r="643" spans="2:57" ht="21" customHeight="1" x14ac:dyDescent="0.2">
      <c r="B643" s="67">
        <v>5</v>
      </c>
      <c r="C643" s="73" t="s">
        <v>66</v>
      </c>
      <c r="D643" s="67">
        <v>15089</v>
      </c>
      <c r="E643" s="72" t="s">
        <v>861</v>
      </c>
      <c r="F643" s="72" t="s">
        <v>862</v>
      </c>
      <c r="G643" s="55">
        <v>44713</v>
      </c>
      <c r="H643" s="56" t="str">
        <f t="shared" si="812"/>
        <v>2 AÑOS</v>
      </c>
      <c r="I643" s="57">
        <v>4197.8327533317906</v>
      </c>
      <c r="J643" s="58"/>
      <c r="K643" s="58"/>
      <c r="L643" s="59"/>
      <c r="M643" s="60">
        <v>4.0000000000000002E-4</v>
      </c>
      <c r="N643" s="61">
        <f t="shared" si="813"/>
        <v>167.91331013327164</v>
      </c>
      <c r="O643" s="58">
        <f t="shared" si="814"/>
        <v>4365.7460634650624</v>
      </c>
      <c r="P643" s="61">
        <f t="shared" si="802"/>
        <v>8731.4921269301249</v>
      </c>
      <c r="Q643" s="61">
        <f t="shared" si="803"/>
        <v>6548.6190951975932</v>
      </c>
      <c r="R643" s="61">
        <f t="shared" si="804"/>
        <v>2182.8730317325312</v>
      </c>
      <c r="S643" s="61">
        <f t="shared" si="805"/>
        <v>291.04973756433748</v>
      </c>
      <c r="T643" s="58">
        <f t="shared" si="806"/>
        <v>334.09599375010299</v>
      </c>
      <c r="U643" s="61">
        <f t="shared" si="807"/>
        <v>3274.3095475987966</v>
      </c>
      <c r="V643" s="58">
        <f t="shared" si="808"/>
        <v>1091.4365158662656</v>
      </c>
      <c r="W643" s="101">
        <v>0</v>
      </c>
      <c r="X643" s="63">
        <f t="shared" si="815"/>
        <v>0</v>
      </c>
      <c r="Y643" s="61">
        <v>149.32902155749809</v>
      </c>
      <c r="Z643" s="61">
        <v>0</v>
      </c>
      <c r="AA643" s="61">
        <f t="shared" si="816"/>
        <v>1091.4365158662656</v>
      </c>
      <c r="AB643" s="61">
        <f t="shared" si="817"/>
        <v>218.28730317325312</v>
      </c>
      <c r="AC643" s="61">
        <v>1618.5485292496594</v>
      </c>
      <c r="AD643" s="61">
        <v>816.64754232306427</v>
      </c>
      <c r="AE643" s="61">
        <v>517.84879031265962</v>
      </c>
      <c r="AF643" s="61">
        <v>0</v>
      </c>
      <c r="AG643" s="61">
        <f t="shared" si="818"/>
        <v>301.23647837908931</v>
      </c>
      <c r="AH643" s="64"/>
      <c r="AI643" s="64"/>
      <c r="AJ643" s="67">
        <v>5</v>
      </c>
      <c r="AK643" s="73" t="s">
        <v>66</v>
      </c>
      <c r="AL643" s="67">
        <v>15089</v>
      </c>
      <c r="AM643" s="72" t="s">
        <v>861</v>
      </c>
      <c r="AN643" s="72" t="s">
        <v>862</v>
      </c>
      <c r="AO643" s="138">
        <f t="shared" si="819"/>
        <v>78583.429142371111</v>
      </c>
      <c r="AP643" s="65">
        <f t="shared" si="820"/>
        <v>26194.476380790373</v>
      </c>
      <c r="AQ643" s="65">
        <f t="shared" si="821"/>
        <v>0</v>
      </c>
      <c r="AR643" s="65">
        <f t="shared" si="822"/>
        <v>1791.9482586899771</v>
      </c>
      <c r="AS643" s="65">
        <f t="shared" si="823"/>
        <v>0</v>
      </c>
      <c r="AT643" s="65">
        <f t="shared" si="824"/>
        <v>13097.238190395186</v>
      </c>
      <c r="AU643" s="65">
        <f t="shared" si="825"/>
        <v>2619.4476380790375</v>
      </c>
      <c r="AV643" s="65">
        <f t="shared" si="826"/>
        <v>19422.582350995912</v>
      </c>
      <c r="AW643" s="65">
        <f t="shared" si="827"/>
        <v>9799.7705078767722</v>
      </c>
      <c r="AX643" s="65">
        <f t="shared" si="828"/>
        <v>6214.1854837519149</v>
      </c>
      <c r="AY643" s="65">
        <f t="shared" si="829"/>
        <v>0</v>
      </c>
      <c r="AZ643" s="65">
        <f t="shared" si="830"/>
        <v>3614.8377405490719</v>
      </c>
      <c r="BB643" s="64"/>
      <c r="BC643" s="66"/>
      <c r="BD643" s="66"/>
      <c r="BE643" s="66"/>
    </row>
    <row r="644" spans="2:57" ht="21" customHeight="1" x14ac:dyDescent="0.2">
      <c r="B644" s="67">
        <v>6</v>
      </c>
      <c r="C644" s="73" t="s">
        <v>66</v>
      </c>
      <c r="D644" s="67">
        <v>15002</v>
      </c>
      <c r="E644" s="72" t="s">
        <v>863</v>
      </c>
      <c r="F644" s="72" t="s">
        <v>864</v>
      </c>
      <c r="G644" s="55">
        <v>36972</v>
      </c>
      <c r="H644" s="56" t="str">
        <f t="shared" si="812"/>
        <v>23 AÑOS</v>
      </c>
      <c r="I644" s="57">
        <v>4197.8327533317906</v>
      </c>
      <c r="J644" s="58"/>
      <c r="K644" s="58"/>
      <c r="L644" s="59"/>
      <c r="M644" s="60">
        <v>4.0000000000000002E-4</v>
      </c>
      <c r="N644" s="61">
        <f t="shared" si="813"/>
        <v>167.91331013327164</v>
      </c>
      <c r="O644" s="58">
        <f t="shared" si="814"/>
        <v>4365.7460634650624</v>
      </c>
      <c r="P644" s="61">
        <f t="shared" si="802"/>
        <v>8731.4921269301249</v>
      </c>
      <c r="Q644" s="61">
        <f t="shared" si="803"/>
        <v>6548.6190951975932</v>
      </c>
      <c r="R644" s="61">
        <f t="shared" si="804"/>
        <v>2182.8730317325312</v>
      </c>
      <c r="S644" s="61">
        <f t="shared" si="805"/>
        <v>291.04973756433748</v>
      </c>
      <c r="T644" s="58">
        <f t="shared" si="806"/>
        <v>334.09599375010299</v>
      </c>
      <c r="U644" s="61">
        <f t="shared" si="807"/>
        <v>3274.3095475987966</v>
      </c>
      <c r="V644" s="58">
        <f t="shared" si="808"/>
        <v>1091.4365158662656</v>
      </c>
      <c r="W644" s="101">
        <v>7.4999999999999997E-2</v>
      </c>
      <c r="X644" s="63">
        <f t="shared" si="815"/>
        <v>654.86190951975937</v>
      </c>
      <c r="Y644" s="61">
        <v>149.32902155749809</v>
      </c>
      <c r="Z644" s="61">
        <v>0</v>
      </c>
      <c r="AA644" s="61">
        <f t="shared" si="816"/>
        <v>1091.4365158662656</v>
      </c>
      <c r="AB644" s="61">
        <f t="shared" si="817"/>
        <v>218.28730317325312</v>
      </c>
      <c r="AC644" s="61">
        <v>1618.5485292496594</v>
      </c>
      <c r="AD644" s="61">
        <v>816.64754232306427</v>
      </c>
      <c r="AE644" s="61">
        <v>517.84879031265962</v>
      </c>
      <c r="AF644" s="61">
        <v>0</v>
      </c>
      <c r="AG644" s="61">
        <f t="shared" si="818"/>
        <v>301.23647837908931</v>
      </c>
      <c r="AH644" s="64"/>
      <c r="AI644" s="64"/>
      <c r="AJ644" s="67">
        <v>6</v>
      </c>
      <c r="AK644" s="73" t="s">
        <v>66</v>
      </c>
      <c r="AL644" s="67">
        <v>15002</v>
      </c>
      <c r="AM644" s="72" t="s">
        <v>863</v>
      </c>
      <c r="AN644" s="72" t="s">
        <v>864</v>
      </c>
      <c r="AO644" s="138">
        <f t="shared" si="819"/>
        <v>78583.429142371111</v>
      </c>
      <c r="AP644" s="65">
        <f t="shared" si="820"/>
        <v>26194.476380790373</v>
      </c>
      <c r="AQ644" s="65">
        <f t="shared" si="821"/>
        <v>7858.3429142371124</v>
      </c>
      <c r="AR644" s="65">
        <f t="shared" si="822"/>
        <v>1791.9482586899771</v>
      </c>
      <c r="AS644" s="65">
        <f t="shared" si="823"/>
        <v>0</v>
      </c>
      <c r="AT644" s="65">
        <f t="shared" si="824"/>
        <v>13097.238190395186</v>
      </c>
      <c r="AU644" s="65">
        <f t="shared" si="825"/>
        <v>2619.4476380790375</v>
      </c>
      <c r="AV644" s="65">
        <f t="shared" si="826"/>
        <v>19422.582350995912</v>
      </c>
      <c r="AW644" s="65">
        <f t="shared" si="827"/>
        <v>9799.7705078767722</v>
      </c>
      <c r="AX644" s="65">
        <f t="shared" si="828"/>
        <v>6214.1854837519149</v>
      </c>
      <c r="AY644" s="65">
        <f t="shared" si="829"/>
        <v>0</v>
      </c>
      <c r="AZ644" s="65">
        <f t="shared" si="830"/>
        <v>3614.8377405490719</v>
      </c>
      <c r="BB644" s="64"/>
      <c r="BC644" s="66"/>
      <c r="BD644" s="66"/>
      <c r="BE644" s="66"/>
    </row>
    <row r="645" spans="2:57" ht="21" customHeight="1" x14ac:dyDescent="0.2">
      <c r="B645" s="67">
        <v>7</v>
      </c>
      <c r="C645" s="73" t="s">
        <v>66</v>
      </c>
      <c r="D645" s="67">
        <v>15087</v>
      </c>
      <c r="E645" s="72" t="s">
        <v>865</v>
      </c>
      <c r="F645" s="72" t="s">
        <v>864</v>
      </c>
      <c r="G645" s="55">
        <v>44621</v>
      </c>
      <c r="H645" s="56" t="str">
        <f t="shared" si="812"/>
        <v>2 AÑOS</v>
      </c>
      <c r="I645" s="57">
        <v>4197.8327533317906</v>
      </c>
      <c r="J645" s="58"/>
      <c r="K645" s="58"/>
      <c r="L645" s="59"/>
      <c r="M645" s="60">
        <v>4.0000000000000002E-4</v>
      </c>
      <c r="N645" s="61">
        <f t="shared" si="813"/>
        <v>167.91331013327164</v>
      </c>
      <c r="O645" s="58">
        <f t="shared" si="814"/>
        <v>4365.7460634650624</v>
      </c>
      <c r="P645" s="61">
        <f t="shared" si="802"/>
        <v>8731.4921269301249</v>
      </c>
      <c r="Q645" s="61">
        <f t="shared" si="803"/>
        <v>6548.6190951975932</v>
      </c>
      <c r="R645" s="61">
        <f t="shared" si="804"/>
        <v>2182.8730317325312</v>
      </c>
      <c r="S645" s="61">
        <f t="shared" si="805"/>
        <v>291.04973756433748</v>
      </c>
      <c r="T645" s="58">
        <f t="shared" si="806"/>
        <v>334.09599375010299</v>
      </c>
      <c r="U645" s="61">
        <f t="shared" si="807"/>
        <v>3274.3095475987966</v>
      </c>
      <c r="V645" s="58">
        <f t="shared" si="808"/>
        <v>1091.4365158662656</v>
      </c>
      <c r="W645" s="101">
        <v>0</v>
      </c>
      <c r="X645" s="63">
        <f t="shared" si="815"/>
        <v>0</v>
      </c>
      <c r="Y645" s="61">
        <v>149.32902155749809</v>
      </c>
      <c r="Z645" s="61">
        <v>0</v>
      </c>
      <c r="AA645" s="61">
        <f t="shared" si="816"/>
        <v>1091.4365158662656</v>
      </c>
      <c r="AB645" s="61">
        <f t="shared" si="817"/>
        <v>218.28730317325312</v>
      </c>
      <c r="AC645" s="61">
        <v>1618.5485292496594</v>
      </c>
      <c r="AD645" s="61">
        <v>816.64754232306427</v>
      </c>
      <c r="AE645" s="61">
        <v>517.84879031265962</v>
      </c>
      <c r="AF645" s="61">
        <v>0</v>
      </c>
      <c r="AG645" s="61">
        <f t="shared" si="818"/>
        <v>301.23647837908931</v>
      </c>
      <c r="AH645" s="64"/>
      <c r="AI645" s="64"/>
      <c r="AJ645" s="67">
        <v>7</v>
      </c>
      <c r="AK645" s="73" t="s">
        <v>66</v>
      </c>
      <c r="AL645" s="67">
        <v>15087</v>
      </c>
      <c r="AM645" s="72" t="s">
        <v>865</v>
      </c>
      <c r="AN645" s="72" t="s">
        <v>864</v>
      </c>
      <c r="AO645" s="138">
        <f t="shared" si="819"/>
        <v>78583.429142371111</v>
      </c>
      <c r="AP645" s="65">
        <f t="shared" si="820"/>
        <v>26194.476380790373</v>
      </c>
      <c r="AQ645" s="65">
        <f t="shared" si="821"/>
        <v>0</v>
      </c>
      <c r="AR645" s="65">
        <f t="shared" si="822"/>
        <v>1791.9482586899771</v>
      </c>
      <c r="AS645" s="65">
        <f t="shared" si="823"/>
        <v>0</v>
      </c>
      <c r="AT645" s="65">
        <f t="shared" si="824"/>
        <v>13097.238190395186</v>
      </c>
      <c r="AU645" s="65">
        <f t="shared" si="825"/>
        <v>2619.4476380790375</v>
      </c>
      <c r="AV645" s="65">
        <f t="shared" si="826"/>
        <v>19422.582350995912</v>
      </c>
      <c r="AW645" s="65">
        <f t="shared" si="827"/>
        <v>9799.7705078767722</v>
      </c>
      <c r="AX645" s="65">
        <f t="shared" si="828"/>
        <v>6214.1854837519149</v>
      </c>
      <c r="AY645" s="65">
        <f t="shared" si="829"/>
        <v>0</v>
      </c>
      <c r="AZ645" s="65">
        <f t="shared" si="830"/>
        <v>3614.8377405490719</v>
      </c>
      <c r="BB645" s="64"/>
      <c r="BC645" s="66"/>
      <c r="BD645" s="66"/>
      <c r="BE645" s="66"/>
    </row>
    <row r="646" spans="2:57" ht="21" customHeight="1" x14ac:dyDescent="0.2">
      <c r="B646" s="67">
        <v>8</v>
      </c>
      <c r="C646" s="73" t="s">
        <v>66</v>
      </c>
      <c r="D646" s="67">
        <v>15083</v>
      </c>
      <c r="E646" s="73" t="s">
        <v>866</v>
      </c>
      <c r="F646" s="72" t="s">
        <v>867</v>
      </c>
      <c r="G646" s="55">
        <v>44667</v>
      </c>
      <c r="H646" s="56" t="str">
        <f t="shared" si="812"/>
        <v>2 AÑOS</v>
      </c>
      <c r="I646" s="57">
        <v>4197.8327533317906</v>
      </c>
      <c r="J646" s="58"/>
      <c r="K646" s="58"/>
      <c r="L646" s="59"/>
      <c r="M646" s="60">
        <v>4.0000000000000002E-4</v>
      </c>
      <c r="N646" s="61">
        <f t="shared" si="813"/>
        <v>167.91331013327164</v>
      </c>
      <c r="O646" s="58">
        <f t="shared" si="814"/>
        <v>4365.7460634650624</v>
      </c>
      <c r="P646" s="61">
        <f t="shared" si="802"/>
        <v>8731.4921269301249</v>
      </c>
      <c r="Q646" s="61">
        <f t="shared" si="803"/>
        <v>6548.6190951975932</v>
      </c>
      <c r="R646" s="61">
        <f t="shared" si="804"/>
        <v>2182.8730317325312</v>
      </c>
      <c r="S646" s="61">
        <f t="shared" si="805"/>
        <v>291.04973756433748</v>
      </c>
      <c r="T646" s="58">
        <f t="shared" si="806"/>
        <v>334.09599375010299</v>
      </c>
      <c r="U646" s="61">
        <f t="shared" si="807"/>
        <v>3274.3095475987966</v>
      </c>
      <c r="V646" s="58">
        <f t="shared" si="808"/>
        <v>1091.4365158662656</v>
      </c>
      <c r="W646" s="101">
        <v>0</v>
      </c>
      <c r="X646" s="63">
        <f t="shared" si="815"/>
        <v>0</v>
      </c>
      <c r="Y646" s="61">
        <v>149.32902155749809</v>
      </c>
      <c r="Z646" s="61">
        <v>0</v>
      </c>
      <c r="AA646" s="61">
        <f t="shared" si="816"/>
        <v>1091.4365158662656</v>
      </c>
      <c r="AB646" s="61">
        <f t="shared" si="817"/>
        <v>218.28730317325312</v>
      </c>
      <c r="AC646" s="61">
        <v>1618.5485292496594</v>
      </c>
      <c r="AD646" s="61">
        <v>816.64754232306427</v>
      </c>
      <c r="AE646" s="61">
        <v>517.84879031265962</v>
      </c>
      <c r="AF646" s="61">
        <v>0</v>
      </c>
      <c r="AG646" s="61">
        <f t="shared" si="818"/>
        <v>301.23647837908931</v>
      </c>
      <c r="AH646" s="64"/>
      <c r="AI646" s="64"/>
      <c r="AJ646" s="67">
        <v>8</v>
      </c>
      <c r="AK646" s="73" t="s">
        <v>66</v>
      </c>
      <c r="AL646" s="67">
        <v>15083</v>
      </c>
      <c r="AM646" s="73" t="s">
        <v>866</v>
      </c>
      <c r="AN646" s="72" t="s">
        <v>867</v>
      </c>
      <c r="AO646" s="138">
        <f t="shared" si="819"/>
        <v>78583.429142371111</v>
      </c>
      <c r="AP646" s="65">
        <f t="shared" si="820"/>
        <v>26194.476380790373</v>
      </c>
      <c r="AQ646" s="65">
        <f t="shared" si="821"/>
        <v>0</v>
      </c>
      <c r="AR646" s="65">
        <f t="shared" si="822"/>
        <v>1791.9482586899771</v>
      </c>
      <c r="AS646" s="65">
        <f t="shared" si="823"/>
        <v>0</v>
      </c>
      <c r="AT646" s="65">
        <f t="shared" si="824"/>
        <v>13097.238190395186</v>
      </c>
      <c r="AU646" s="65">
        <f t="shared" si="825"/>
        <v>2619.4476380790375</v>
      </c>
      <c r="AV646" s="65">
        <f t="shared" si="826"/>
        <v>19422.582350995912</v>
      </c>
      <c r="AW646" s="65">
        <f t="shared" si="827"/>
        <v>9799.7705078767722</v>
      </c>
      <c r="AX646" s="65">
        <f t="shared" si="828"/>
        <v>6214.1854837519149</v>
      </c>
      <c r="AY646" s="65">
        <f t="shared" si="829"/>
        <v>0</v>
      </c>
      <c r="AZ646" s="65">
        <f t="shared" si="830"/>
        <v>3614.8377405490719</v>
      </c>
      <c r="BB646" s="64"/>
      <c r="BC646" s="66"/>
      <c r="BD646" s="66"/>
      <c r="BE646" s="66"/>
    </row>
    <row r="647" spans="2:57" ht="21" customHeight="1" x14ac:dyDescent="0.2">
      <c r="B647" s="67">
        <v>9</v>
      </c>
      <c r="C647" s="73" t="s">
        <v>66</v>
      </c>
      <c r="D647" s="67">
        <v>15045</v>
      </c>
      <c r="E647" s="72" t="s">
        <v>868</v>
      </c>
      <c r="F647" s="79" t="s">
        <v>867</v>
      </c>
      <c r="G647" s="55">
        <v>38433</v>
      </c>
      <c r="H647" s="56" t="str">
        <f t="shared" si="812"/>
        <v>19 AÑOS</v>
      </c>
      <c r="I647" s="57">
        <v>4197.8327533317906</v>
      </c>
      <c r="J647" s="58"/>
      <c r="K647" s="58"/>
      <c r="L647" s="59"/>
      <c r="M647" s="60">
        <v>4.0000000000000002E-4</v>
      </c>
      <c r="N647" s="61">
        <f t="shared" si="813"/>
        <v>167.91331013327164</v>
      </c>
      <c r="O647" s="58">
        <f t="shared" si="814"/>
        <v>4365.7460634650624</v>
      </c>
      <c r="P647" s="61">
        <f t="shared" si="802"/>
        <v>8731.4921269301249</v>
      </c>
      <c r="Q647" s="61">
        <f t="shared" si="803"/>
        <v>6548.6190951975932</v>
      </c>
      <c r="R647" s="61">
        <f t="shared" si="804"/>
        <v>2182.8730317325312</v>
      </c>
      <c r="S647" s="61">
        <f t="shared" si="805"/>
        <v>291.04973756433748</v>
      </c>
      <c r="T647" s="58">
        <f t="shared" si="806"/>
        <v>334.09599375010299</v>
      </c>
      <c r="U647" s="61">
        <f t="shared" si="807"/>
        <v>3274.3095475987966</v>
      </c>
      <c r="V647" s="58">
        <f t="shared" si="808"/>
        <v>1091.4365158662656</v>
      </c>
      <c r="W647" s="101">
        <v>7.4999999999999997E-2</v>
      </c>
      <c r="X647" s="63">
        <f t="shared" si="815"/>
        <v>654.86190951975937</v>
      </c>
      <c r="Y647" s="61">
        <v>149.32902155749809</v>
      </c>
      <c r="Z647" s="61">
        <v>0</v>
      </c>
      <c r="AA647" s="61">
        <f t="shared" si="816"/>
        <v>1091.4365158662656</v>
      </c>
      <c r="AB647" s="61">
        <f t="shared" si="817"/>
        <v>218.28730317325312</v>
      </c>
      <c r="AC647" s="61">
        <v>1618.5485292496594</v>
      </c>
      <c r="AD647" s="61">
        <v>816.64754232306427</v>
      </c>
      <c r="AE647" s="61">
        <v>517.84879031265962</v>
      </c>
      <c r="AF647" s="61">
        <v>0</v>
      </c>
      <c r="AG647" s="61">
        <f t="shared" si="818"/>
        <v>301.23647837908931</v>
      </c>
      <c r="AH647" s="64"/>
      <c r="AI647" s="64"/>
      <c r="AJ647" s="67">
        <v>9</v>
      </c>
      <c r="AK647" s="73" t="s">
        <v>66</v>
      </c>
      <c r="AL647" s="67">
        <v>15045</v>
      </c>
      <c r="AM647" s="72" t="s">
        <v>868</v>
      </c>
      <c r="AN647" s="79" t="s">
        <v>867</v>
      </c>
      <c r="AO647" s="138">
        <f t="shared" si="819"/>
        <v>78583.429142371111</v>
      </c>
      <c r="AP647" s="65">
        <f t="shared" si="820"/>
        <v>26194.476380790373</v>
      </c>
      <c r="AQ647" s="65">
        <f t="shared" si="821"/>
        <v>7858.3429142371124</v>
      </c>
      <c r="AR647" s="65">
        <f t="shared" si="822"/>
        <v>1791.9482586899771</v>
      </c>
      <c r="AS647" s="65">
        <f t="shared" si="823"/>
        <v>0</v>
      </c>
      <c r="AT647" s="65">
        <f t="shared" si="824"/>
        <v>13097.238190395186</v>
      </c>
      <c r="AU647" s="65">
        <f t="shared" si="825"/>
        <v>2619.4476380790375</v>
      </c>
      <c r="AV647" s="65">
        <f t="shared" si="826"/>
        <v>19422.582350995912</v>
      </c>
      <c r="AW647" s="65">
        <f t="shared" si="827"/>
        <v>9799.7705078767722</v>
      </c>
      <c r="AX647" s="65">
        <f t="shared" si="828"/>
        <v>6214.1854837519149</v>
      </c>
      <c r="AY647" s="65">
        <f t="shared" si="829"/>
        <v>0</v>
      </c>
      <c r="AZ647" s="65">
        <f t="shared" si="830"/>
        <v>3614.8377405490719</v>
      </c>
      <c r="BB647" s="64"/>
      <c r="BC647" s="66"/>
      <c r="BD647" s="66"/>
      <c r="BE647" s="66"/>
    </row>
    <row r="648" spans="2:57" ht="21" customHeight="1" x14ac:dyDescent="0.2">
      <c r="B648" s="67">
        <v>10</v>
      </c>
      <c r="C648" s="73" t="s">
        <v>66</v>
      </c>
      <c r="D648" s="67">
        <v>15080</v>
      </c>
      <c r="E648" s="73" t="s">
        <v>869</v>
      </c>
      <c r="F648" s="79" t="s">
        <v>867</v>
      </c>
      <c r="G648" s="55">
        <v>43754</v>
      </c>
      <c r="H648" s="56" t="str">
        <f t="shared" si="812"/>
        <v>5 AÑOS</v>
      </c>
      <c r="I648" s="57">
        <v>4197.8327533317906</v>
      </c>
      <c r="J648" s="58"/>
      <c r="K648" s="58"/>
      <c r="L648" s="59"/>
      <c r="M648" s="60">
        <v>4.0000000000000002E-4</v>
      </c>
      <c r="N648" s="61">
        <f t="shared" si="813"/>
        <v>167.91331013327164</v>
      </c>
      <c r="O648" s="58">
        <f t="shared" si="814"/>
        <v>4365.7460634650624</v>
      </c>
      <c r="P648" s="61">
        <f t="shared" si="802"/>
        <v>8731.4921269301249</v>
      </c>
      <c r="Q648" s="61">
        <f t="shared" si="803"/>
        <v>6548.6190951975932</v>
      </c>
      <c r="R648" s="61">
        <f t="shared" si="804"/>
        <v>2182.8730317325312</v>
      </c>
      <c r="S648" s="61">
        <f t="shared" si="805"/>
        <v>291.04973756433748</v>
      </c>
      <c r="T648" s="58">
        <f t="shared" si="806"/>
        <v>334.09599375010299</v>
      </c>
      <c r="U648" s="61">
        <f t="shared" si="807"/>
        <v>3274.3095475987966</v>
      </c>
      <c r="V648" s="58">
        <f t="shared" si="808"/>
        <v>1091.4365158662656</v>
      </c>
      <c r="W648" s="101">
        <v>2.5000000000000001E-2</v>
      </c>
      <c r="X648" s="63">
        <f t="shared" si="815"/>
        <v>218.28730317325312</v>
      </c>
      <c r="Y648" s="61">
        <v>149.32902155749809</v>
      </c>
      <c r="Z648" s="61">
        <v>0</v>
      </c>
      <c r="AA648" s="61">
        <f t="shared" si="816"/>
        <v>1091.4365158662656</v>
      </c>
      <c r="AB648" s="61">
        <f t="shared" si="817"/>
        <v>218.28730317325312</v>
      </c>
      <c r="AC648" s="61">
        <v>1618.5485292496594</v>
      </c>
      <c r="AD648" s="61">
        <v>816.64754232306427</v>
      </c>
      <c r="AE648" s="61">
        <v>517.84879031265962</v>
      </c>
      <c r="AF648" s="61">
        <v>0</v>
      </c>
      <c r="AG648" s="61">
        <f t="shared" si="818"/>
        <v>301.23647837908931</v>
      </c>
      <c r="AH648" s="64"/>
      <c r="AI648" s="64"/>
      <c r="AJ648" s="67">
        <v>10</v>
      </c>
      <c r="AK648" s="73" t="s">
        <v>66</v>
      </c>
      <c r="AL648" s="67">
        <v>15080</v>
      </c>
      <c r="AM648" s="73" t="s">
        <v>869</v>
      </c>
      <c r="AN648" s="79" t="s">
        <v>867</v>
      </c>
      <c r="AO648" s="138">
        <f t="shared" si="819"/>
        <v>78583.429142371111</v>
      </c>
      <c r="AP648" s="65">
        <f t="shared" si="820"/>
        <v>26194.476380790373</v>
      </c>
      <c r="AQ648" s="65">
        <f t="shared" si="821"/>
        <v>2619.4476380790375</v>
      </c>
      <c r="AR648" s="65">
        <f t="shared" si="822"/>
        <v>1791.9482586899771</v>
      </c>
      <c r="AS648" s="65">
        <f t="shared" si="823"/>
        <v>0</v>
      </c>
      <c r="AT648" s="65">
        <f t="shared" si="824"/>
        <v>13097.238190395186</v>
      </c>
      <c r="AU648" s="65">
        <f t="shared" si="825"/>
        <v>2619.4476380790375</v>
      </c>
      <c r="AV648" s="65">
        <f t="shared" si="826"/>
        <v>19422.582350995912</v>
      </c>
      <c r="AW648" s="65">
        <f t="shared" si="827"/>
        <v>9799.7705078767722</v>
      </c>
      <c r="AX648" s="65">
        <f t="shared" si="828"/>
        <v>6214.1854837519149</v>
      </c>
      <c r="AY648" s="65">
        <f t="shared" si="829"/>
        <v>0</v>
      </c>
      <c r="AZ648" s="65">
        <f t="shared" si="830"/>
        <v>3614.8377405490719</v>
      </c>
      <c r="BB648" s="64"/>
      <c r="BC648" s="66"/>
      <c r="BD648" s="66"/>
      <c r="BE648" s="66"/>
    </row>
    <row r="649" spans="2:57" s="364" customFormat="1" ht="21" customHeight="1" x14ac:dyDescent="0.2">
      <c r="B649" s="365">
        <v>11</v>
      </c>
      <c r="C649" s="372" t="s">
        <v>66</v>
      </c>
      <c r="D649" s="365"/>
      <c r="E649" s="375" t="s">
        <v>55</v>
      </c>
      <c r="F649" s="79" t="s">
        <v>870</v>
      </c>
      <c r="G649" s="55"/>
      <c r="H649" s="56"/>
      <c r="I649" s="57">
        <v>4197.8327533317906</v>
      </c>
      <c r="J649" s="58"/>
      <c r="K649" s="58"/>
      <c r="L649" s="59"/>
      <c r="M649" s="60">
        <v>4.0000000000000002E-4</v>
      </c>
      <c r="N649" s="61">
        <f t="shared" si="813"/>
        <v>167.91331013327164</v>
      </c>
      <c r="O649" s="58">
        <f t="shared" si="814"/>
        <v>4365.7460634650624</v>
      </c>
      <c r="P649" s="61">
        <f t="shared" si="802"/>
        <v>8731.4921269301249</v>
      </c>
      <c r="Q649" s="61">
        <f t="shared" si="803"/>
        <v>6548.6190951975932</v>
      </c>
      <c r="R649" s="61">
        <f t="shared" si="804"/>
        <v>2182.8730317325312</v>
      </c>
      <c r="S649" s="61">
        <f t="shared" si="805"/>
        <v>291.04973756433748</v>
      </c>
      <c r="T649" s="58">
        <f t="shared" si="806"/>
        <v>334.09599375010299</v>
      </c>
      <c r="U649" s="61">
        <f t="shared" si="807"/>
        <v>3274.3095475987966</v>
      </c>
      <c r="V649" s="58">
        <f t="shared" si="808"/>
        <v>1091.4365158662656</v>
      </c>
      <c r="W649" s="101">
        <v>0</v>
      </c>
      <c r="X649" s="63">
        <f t="shared" si="815"/>
        <v>0</v>
      </c>
      <c r="Y649" s="61">
        <v>149.32902155749809</v>
      </c>
      <c r="Z649" s="61">
        <v>0</v>
      </c>
      <c r="AA649" s="61">
        <f t="shared" si="816"/>
        <v>1091.4365158662656</v>
      </c>
      <c r="AB649" s="61">
        <f t="shared" si="817"/>
        <v>218.28730317325312</v>
      </c>
      <c r="AC649" s="61">
        <v>1618.5485292496594</v>
      </c>
      <c r="AD649" s="61">
        <v>816.64754232306427</v>
      </c>
      <c r="AE649" s="61">
        <v>517.84879031265962</v>
      </c>
      <c r="AF649" s="61">
        <v>0</v>
      </c>
      <c r="AG649" s="61">
        <f t="shared" si="818"/>
        <v>301.23647837908931</v>
      </c>
      <c r="AH649" s="64"/>
      <c r="AI649" s="64"/>
      <c r="AJ649" s="365">
        <v>11</v>
      </c>
      <c r="AK649" s="372" t="s">
        <v>66</v>
      </c>
      <c r="AL649" s="365"/>
      <c r="AM649" s="375" t="s">
        <v>55</v>
      </c>
      <c r="AN649" s="79" t="s">
        <v>870</v>
      </c>
      <c r="AO649" s="368">
        <f t="shared" ref="AO649:AP649" si="831">Q649*4.5</f>
        <v>29468.78592838917</v>
      </c>
      <c r="AP649" s="368">
        <f t="shared" si="831"/>
        <v>9822.9286427963907</v>
      </c>
      <c r="AQ649" s="368">
        <f t="shared" ref="AQ649:AZ649" si="832">X649*4.5</f>
        <v>0</v>
      </c>
      <c r="AR649" s="368">
        <f t="shared" si="832"/>
        <v>671.98059700874137</v>
      </c>
      <c r="AS649" s="368">
        <f t="shared" si="832"/>
        <v>0</v>
      </c>
      <c r="AT649" s="368">
        <f t="shared" si="832"/>
        <v>4911.4643213981954</v>
      </c>
      <c r="AU649" s="368">
        <f t="shared" si="832"/>
        <v>982.29286427963905</v>
      </c>
      <c r="AV649" s="368">
        <f t="shared" si="832"/>
        <v>7283.4683816234674</v>
      </c>
      <c r="AW649" s="368">
        <f t="shared" si="832"/>
        <v>3674.9139404537891</v>
      </c>
      <c r="AX649" s="368">
        <f t="shared" si="832"/>
        <v>2330.3195564069683</v>
      </c>
      <c r="AY649" s="368">
        <f t="shared" si="832"/>
        <v>0</v>
      </c>
      <c r="AZ649" s="368">
        <f t="shared" si="832"/>
        <v>1355.564152705902</v>
      </c>
      <c r="BB649" s="64"/>
      <c r="BC649" s="66"/>
      <c r="BD649" s="66"/>
      <c r="BE649" s="66"/>
    </row>
    <row r="650" spans="2:57" s="364" customFormat="1" ht="21" customHeight="1" x14ac:dyDescent="0.2">
      <c r="B650" s="365">
        <v>12</v>
      </c>
      <c r="C650" s="372" t="s">
        <v>66</v>
      </c>
      <c r="D650" s="365">
        <v>15029</v>
      </c>
      <c r="E650" s="371" t="s">
        <v>871</v>
      </c>
      <c r="F650" s="79" t="s">
        <v>870</v>
      </c>
      <c r="G650" s="55">
        <v>37263</v>
      </c>
      <c r="H650" s="56" t="str">
        <f t="shared" si="812"/>
        <v>22 AÑOS</v>
      </c>
      <c r="I650" s="57">
        <v>4197.8327533317906</v>
      </c>
      <c r="J650" s="58"/>
      <c r="K650" s="58"/>
      <c r="L650" s="59"/>
      <c r="M650" s="60">
        <v>4.0000000000000002E-4</v>
      </c>
      <c r="N650" s="61">
        <f t="shared" si="813"/>
        <v>167.91331013327164</v>
      </c>
      <c r="O650" s="58">
        <f t="shared" si="814"/>
        <v>4365.7460634650624</v>
      </c>
      <c r="P650" s="61">
        <f t="shared" si="802"/>
        <v>8731.4921269301249</v>
      </c>
      <c r="Q650" s="61">
        <f t="shared" si="803"/>
        <v>6548.6190951975932</v>
      </c>
      <c r="R650" s="61">
        <f t="shared" si="804"/>
        <v>2182.8730317325312</v>
      </c>
      <c r="S650" s="61">
        <f t="shared" si="805"/>
        <v>291.04973756433748</v>
      </c>
      <c r="T650" s="58">
        <f t="shared" si="806"/>
        <v>334.09599375010299</v>
      </c>
      <c r="U650" s="61">
        <f t="shared" si="807"/>
        <v>3274.3095475987966</v>
      </c>
      <c r="V650" s="58">
        <f t="shared" si="808"/>
        <v>1091.4365158662656</v>
      </c>
      <c r="W650" s="101">
        <v>7.4999999999999997E-2</v>
      </c>
      <c r="X650" s="63">
        <f t="shared" si="815"/>
        <v>654.86190951975937</v>
      </c>
      <c r="Y650" s="61">
        <v>149.32902155749809</v>
      </c>
      <c r="Z650" s="61">
        <v>0</v>
      </c>
      <c r="AA650" s="61">
        <f t="shared" si="816"/>
        <v>1091.4365158662656</v>
      </c>
      <c r="AB650" s="61">
        <f t="shared" si="817"/>
        <v>218.28730317325312</v>
      </c>
      <c r="AC650" s="61">
        <v>1618.5485292496594</v>
      </c>
      <c r="AD650" s="61">
        <v>816.64754232306427</v>
      </c>
      <c r="AE650" s="61">
        <v>517.84879031265962</v>
      </c>
      <c r="AF650" s="61">
        <v>0</v>
      </c>
      <c r="AG650" s="61">
        <f t="shared" si="818"/>
        <v>301.23647837908931</v>
      </c>
      <c r="AH650" s="64"/>
      <c r="AI650" s="64"/>
      <c r="AJ650" s="365">
        <v>12</v>
      </c>
      <c r="AK650" s="372" t="s">
        <v>66</v>
      </c>
      <c r="AL650" s="365">
        <v>15029</v>
      </c>
      <c r="AM650" s="371" t="s">
        <v>871</v>
      </c>
      <c r="AN650" s="79" t="s">
        <v>870</v>
      </c>
      <c r="AO650" s="401">
        <f>Q650*12</f>
        <v>78583.429142371111</v>
      </c>
      <c r="AP650" s="368">
        <f>R650*12</f>
        <v>26194.476380790373</v>
      </c>
      <c r="AQ650" s="368">
        <f t="shared" ref="AQ650:AZ650" si="833">X650*12</f>
        <v>7858.3429142371124</v>
      </c>
      <c r="AR650" s="368">
        <f t="shared" si="833"/>
        <v>1791.9482586899771</v>
      </c>
      <c r="AS650" s="368">
        <f t="shared" si="833"/>
        <v>0</v>
      </c>
      <c r="AT650" s="368">
        <f t="shared" si="833"/>
        <v>13097.238190395186</v>
      </c>
      <c r="AU650" s="368">
        <f t="shared" si="833"/>
        <v>2619.4476380790375</v>
      </c>
      <c r="AV650" s="368">
        <f t="shared" si="833"/>
        <v>19422.582350995912</v>
      </c>
      <c r="AW650" s="368">
        <f t="shared" si="833"/>
        <v>9799.7705078767722</v>
      </c>
      <c r="AX650" s="368">
        <f t="shared" si="833"/>
        <v>6214.1854837519149</v>
      </c>
      <c r="AY650" s="368">
        <f t="shared" si="833"/>
        <v>0</v>
      </c>
      <c r="AZ650" s="368">
        <f t="shared" si="833"/>
        <v>3614.8377405490719</v>
      </c>
      <c r="BB650" s="64"/>
      <c r="BC650" s="66"/>
      <c r="BD650" s="66"/>
      <c r="BE650" s="66"/>
    </row>
    <row r="651" spans="2:57" s="364" customFormat="1" ht="21" customHeight="1" x14ac:dyDescent="0.2">
      <c r="B651" s="365">
        <v>13</v>
      </c>
      <c r="C651" s="372" t="s">
        <v>66</v>
      </c>
      <c r="D651" s="396"/>
      <c r="E651" s="375" t="s">
        <v>55</v>
      </c>
      <c r="F651" s="79" t="s">
        <v>870</v>
      </c>
      <c r="G651" s="55"/>
      <c r="H651" s="56"/>
      <c r="I651" s="57">
        <v>4197.8327533317906</v>
      </c>
      <c r="J651" s="58"/>
      <c r="K651" s="58"/>
      <c r="L651" s="59"/>
      <c r="M651" s="60">
        <v>4.0000000000000002E-4</v>
      </c>
      <c r="N651" s="61">
        <f t="shared" si="813"/>
        <v>167.91331013327164</v>
      </c>
      <c r="O651" s="58">
        <f t="shared" si="814"/>
        <v>4365.7460634650624</v>
      </c>
      <c r="P651" s="61">
        <f t="shared" si="802"/>
        <v>8731.4921269301249</v>
      </c>
      <c r="Q651" s="61">
        <f t="shared" si="803"/>
        <v>6548.6190951975932</v>
      </c>
      <c r="R651" s="61">
        <f t="shared" si="804"/>
        <v>2182.8730317325312</v>
      </c>
      <c r="S651" s="61">
        <f t="shared" si="805"/>
        <v>291.04973756433748</v>
      </c>
      <c r="T651" s="58">
        <f t="shared" si="806"/>
        <v>334.09599375010299</v>
      </c>
      <c r="U651" s="61">
        <f t="shared" si="807"/>
        <v>3274.3095475987966</v>
      </c>
      <c r="V651" s="58">
        <f t="shared" si="808"/>
        <v>1091.4365158662656</v>
      </c>
      <c r="W651" s="101">
        <v>7.4999999999999997E-2</v>
      </c>
      <c r="X651" s="63">
        <f t="shared" si="815"/>
        <v>654.86190951975937</v>
      </c>
      <c r="Y651" s="61">
        <v>149.32902155749809</v>
      </c>
      <c r="Z651" s="61">
        <v>0</v>
      </c>
      <c r="AA651" s="61">
        <f t="shared" si="816"/>
        <v>1091.4365158662656</v>
      </c>
      <c r="AB651" s="61">
        <f t="shared" si="817"/>
        <v>218.28730317325312</v>
      </c>
      <c r="AC651" s="61">
        <v>1618.5485292496594</v>
      </c>
      <c r="AD651" s="61">
        <v>816.64754232306427</v>
      </c>
      <c r="AE651" s="61">
        <v>517.84879031265962</v>
      </c>
      <c r="AF651" s="61">
        <v>0</v>
      </c>
      <c r="AG651" s="61">
        <f t="shared" si="818"/>
        <v>301.23647837908931</v>
      </c>
      <c r="AH651" s="64"/>
      <c r="AI651" s="64"/>
      <c r="AJ651" s="365">
        <v>13</v>
      </c>
      <c r="AK651" s="372" t="s">
        <v>66</v>
      </c>
      <c r="AL651" s="396"/>
      <c r="AM651" s="375" t="s">
        <v>55</v>
      </c>
      <c r="AN651" s="79" t="s">
        <v>870</v>
      </c>
      <c r="AO651" s="368">
        <f>Q651*9.5</f>
        <v>62211.881404377134</v>
      </c>
      <c r="AP651" s="368">
        <f>R651*9.5</f>
        <v>20737.293801459047</v>
      </c>
      <c r="AQ651" s="368">
        <f t="shared" ref="AQ651:AZ651" si="834">X651*9.5</f>
        <v>6221.1881404377136</v>
      </c>
      <c r="AR651" s="368">
        <f t="shared" si="834"/>
        <v>1418.625704796232</v>
      </c>
      <c r="AS651" s="368">
        <f t="shared" si="834"/>
        <v>0</v>
      </c>
      <c r="AT651" s="368">
        <f t="shared" si="834"/>
        <v>10368.646900729524</v>
      </c>
      <c r="AU651" s="368">
        <f t="shared" si="834"/>
        <v>2073.7293801459045</v>
      </c>
      <c r="AV651" s="368">
        <f t="shared" si="834"/>
        <v>15376.211027871765</v>
      </c>
      <c r="AW651" s="368">
        <f t="shared" si="834"/>
        <v>7758.1516520691102</v>
      </c>
      <c r="AX651" s="368">
        <f t="shared" si="834"/>
        <v>4919.5635079702661</v>
      </c>
      <c r="AY651" s="368">
        <f t="shared" si="834"/>
        <v>0</v>
      </c>
      <c r="AZ651" s="368">
        <f t="shared" si="834"/>
        <v>2861.7465446013484</v>
      </c>
      <c r="BB651" s="64"/>
      <c r="BC651" s="66"/>
      <c r="BD651" s="66"/>
      <c r="BE651" s="66"/>
    </row>
    <row r="652" spans="2:57" s="364" customFormat="1" ht="21" customHeight="1" x14ac:dyDescent="0.2">
      <c r="B652" s="365">
        <v>14</v>
      </c>
      <c r="C652" s="372" t="s">
        <v>66</v>
      </c>
      <c r="D652" s="365">
        <v>15009</v>
      </c>
      <c r="E652" s="371" t="s">
        <v>872</v>
      </c>
      <c r="F652" s="79" t="s">
        <v>870</v>
      </c>
      <c r="G652" s="55">
        <v>36815</v>
      </c>
      <c r="H652" s="55" t="str">
        <f t="shared" si="812"/>
        <v>24 AÑOS</v>
      </c>
      <c r="I652" s="57">
        <v>4197.8327533317888</v>
      </c>
      <c r="J652" s="57"/>
      <c r="K652" s="57"/>
      <c r="L652" s="74"/>
      <c r="M652" s="171">
        <v>4.0000000000000002E-4</v>
      </c>
      <c r="N652" s="81">
        <f t="shared" si="813"/>
        <v>167.91331013327155</v>
      </c>
      <c r="O652" s="57">
        <f t="shared" si="814"/>
        <v>4365.7460634650606</v>
      </c>
      <c r="P652" s="81">
        <f t="shared" si="802"/>
        <v>8731.4921269301212</v>
      </c>
      <c r="Q652" s="81">
        <f t="shared" si="803"/>
        <v>6548.6190951975914</v>
      </c>
      <c r="R652" s="81">
        <f t="shared" si="804"/>
        <v>2182.8730317325303</v>
      </c>
      <c r="S652" s="81">
        <f t="shared" si="805"/>
        <v>291.04973756433736</v>
      </c>
      <c r="T652" s="57">
        <f t="shared" si="806"/>
        <v>334.09599375010282</v>
      </c>
      <c r="U652" s="81">
        <f t="shared" si="807"/>
        <v>3274.3095475987957</v>
      </c>
      <c r="V652" s="57">
        <f t="shared" si="808"/>
        <v>1091.4365158662652</v>
      </c>
      <c r="W652" s="101">
        <v>7.4999999999999997E-2</v>
      </c>
      <c r="X652" s="158">
        <f t="shared" si="815"/>
        <v>654.86190951975902</v>
      </c>
      <c r="Y652" s="81">
        <v>149.32902155749792</v>
      </c>
      <c r="Z652" s="81">
        <v>0</v>
      </c>
      <c r="AA652" s="81">
        <f t="shared" si="816"/>
        <v>1091.4365158662652</v>
      </c>
      <c r="AB652" s="81">
        <f t="shared" si="817"/>
        <v>218.28730317325304</v>
      </c>
      <c r="AC652" s="81">
        <v>1618.5485292496587</v>
      </c>
      <c r="AD652" s="81">
        <v>816.64754232306382</v>
      </c>
      <c r="AE652" s="81">
        <v>517.84879031265939</v>
      </c>
      <c r="AF652" s="81">
        <v>0</v>
      </c>
      <c r="AG652" s="81">
        <f t="shared" si="818"/>
        <v>301.23647837908919</v>
      </c>
      <c r="AH652" s="64"/>
      <c r="AI652" s="64"/>
      <c r="AJ652" s="365">
        <v>14</v>
      </c>
      <c r="AK652" s="372" t="s">
        <v>66</v>
      </c>
      <c r="AL652" s="365">
        <v>15009</v>
      </c>
      <c r="AM652" s="371" t="s">
        <v>872</v>
      </c>
      <c r="AN652" s="79" t="s">
        <v>870</v>
      </c>
      <c r="AO652" s="419">
        <f t="shared" ref="AO652:AO660" si="835">Q652*12</f>
        <v>78583.429142371097</v>
      </c>
      <c r="AP652" s="395">
        <f t="shared" ref="AP652:AP660" si="836">R652*12</f>
        <v>26194.476380790366</v>
      </c>
      <c r="AQ652" s="395">
        <f t="shared" ref="AQ652:AQ660" si="837">X652*12</f>
        <v>7858.3429142371078</v>
      </c>
      <c r="AR652" s="395">
        <f t="shared" ref="AR652:AR660" si="838">Y652*12</f>
        <v>1791.9482586899751</v>
      </c>
      <c r="AS652" s="395">
        <f t="shared" ref="AS652:AS660" si="839">Z652*12</f>
        <v>0</v>
      </c>
      <c r="AT652" s="395">
        <f t="shared" ref="AT652:AT660" si="840">AA652*12</f>
        <v>13097.238190395183</v>
      </c>
      <c r="AU652" s="395">
        <f t="shared" ref="AU652:AU660" si="841">AB652*12</f>
        <v>2619.4476380790366</v>
      </c>
      <c r="AV652" s="395">
        <f t="shared" ref="AV652:AV660" si="842">AC652*12</f>
        <v>19422.582350995905</v>
      </c>
      <c r="AW652" s="395">
        <f t="shared" ref="AW652:AW660" si="843">AD652*12</f>
        <v>9799.7705078767649</v>
      </c>
      <c r="AX652" s="395">
        <f t="shared" ref="AX652:AX660" si="844">AE652*12</f>
        <v>6214.1854837519131</v>
      </c>
      <c r="AY652" s="395">
        <f t="shared" ref="AY652:AY660" si="845">AF652*12</f>
        <v>0</v>
      </c>
      <c r="AZ652" s="395">
        <f t="shared" ref="AZ652:AZ660" si="846">AG652*12</f>
        <v>3614.8377405490701</v>
      </c>
      <c r="BB652" s="64"/>
      <c r="BC652" s="66"/>
      <c r="BD652" s="66"/>
      <c r="BE652" s="66"/>
    </row>
    <row r="653" spans="2:57" ht="21" customHeight="1" x14ac:dyDescent="0.2">
      <c r="B653" s="67">
        <v>15</v>
      </c>
      <c r="C653" s="73" t="s">
        <v>66</v>
      </c>
      <c r="D653" s="67">
        <v>15079</v>
      </c>
      <c r="E653" s="73" t="s">
        <v>873</v>
      </c>
      <c r="F653" s="79" t="s">
        <v>870</v>
      </c>
      <c r="G653" s="55">
        <v>43619</v>
      </c>
      <c r="H653" s="56" t="str">
        <f t="shared" si="812"/>
        <v>5 AÑOS</v>
      </c>
      <c r="I653" s="57">
        <v>4197.8327533317906</v>
      </c>
      <c r="J653" s="58"/>
      <c r="K653" s="58"/>
      <c r="L653" s="59"/>
      <c r="M653" s="60">
        <v>4.0000000000000002E-4</v>
      </c>
      <c r="N653" s="61">
        <f t="shared" si="813"/>
        <v>167.91331013327164</v>
      </c>
      <c r="O653" s="58">
        <f t="shared" si="814"/>
        <v>4365.7460634650624</v>
      </c>
      <c r="P653" s="61">
        <f t="shared" si="802"/>
        <v>8731.4921269301249</v>
      </c>
      <c r="Q653" s="61">
        <f t="shared" si="803"/>
        <v>6548.6190951975932</v>
      </c>
      <c r="R653" s="61">
        <f t="shared" si="804"/>
        <v>2182.8730317325312</v>
      </c>
      <c r="S653" s="61">
        <f t="shared" si="805"/>
        <v>291.04973756433748</v>
      </c>
      <c r="T653" s="58">
        <f t="shared" si="806"/>
        <v>334.09599375010299</v>
      </c>
      <c r="U653" s="61">
        <f t="shared" si="807"/>
        <v>3274.3095475987966</v>
      </c>
      <c r="V653" s="58">
        <f t="shared" si="808"/>
        <v>1091.4365158662656</v>
      </c>
      <c r="W653" s="101">
        <v>2.5000000000000001E-2</v>
      </c>
      <c r="X653" s="63">
        <f t="shared" si="815"/>
        <v>218.28730317325312</v>
      </c>
      <c r="Y653" s="61">
        <v>149.32902155749809</v>
      </c>
      <c r="Z653" s="61">
        <v>0</v>
      </c>
      <c r="AA653" s="61">
        <f t="shared" si="816"/>
        <v>1091.4365158662656</v>
      </c>
      <c r="AB653" s="61">
        <f t="shared" si="817"/>
        <v>218.28730317325312</v>
      </c>
      <c r="AC653" s="61">
        <v>1618.5485292496594</v>
      </c>
      <c r="AD653" s="61">
        <v>816.64754232306427</v>
      </c>
      <c r="AE653" s="61">
        <v>517.84879031265962</v>
      </c>
      <c r="AF653" s="61">
        <v>0</v>
      </c>
      <c r="AG653" s="61">
        <f t="shared" si="818"/>
        <v>301.23647837908931</v>
      </c>
      <c r="AH653" s="64"/>
      <c r="AI653" s="64"/>
      <c r="AJ653" s="67">
        <v>15</v>
      </c>
      <c r="AK653" s="73" t="s">
        <v>66</v>
      </c>
      <c r="AL653" s="67">
        <v>15079</v>
      </c>
      <c r="AM653" s="73" t="s">
        <v>873</v>
      </c>
      <c r="AN653" s="79" t="s">
        <v>870</v>
      </c>
      <c r="AO653" s="138">
        <f t="shared" si="835"/>
        <v>78583.429142371111</v>
      </c>
      <c r="AP653" s="65">
        <f t="shared" si="836"/>
        <v>26194.476380790373</v>
      </c>
      <c r="AQ653" s="65">
        <f t="shared" si="837"/>
        <v>2619.4476380790375</v>
      </c>
      <c r="AR653" s="65">
        <f t="shared" si="838"/>
        <v>1791.9482586899771</v>
      </c>
      <c r="AS653" s="65">
        <f t="shared" si="839"/>
        <v>0</v>
      </c>
      <c r="AT653" s="65">
        <f t="shared" si="840"/>
        <v>13097.238190395186</v>
      </c>
      <c r="AU653" s="65">
        <f t="shared" si="841"/>
        <v>2619.4476380790375</v>
      </c>
      <c r="AV653" s="65">
        <f t="shared" si="842"/>
        <v>19422.582350995912</v>
      </c>
      <c r="AW653" s="65">
        <f t="shared" si="843"/>
        <v>9799.7705078767722</v>
      </c>
      <c r="AX653" s="65">
        <f t="shared" si="844"/>
        <v>6214.1854837519149</v>
      </c>
      <c r="AY653" s="65">
        <f t="shared" si="845"/>
        <v>0</v>
      </c>
      <c r="AZ653" s="65">
        <f t="shared" si="846"/>
        <v>3614.8377405490719</v>
      </c>
      <c r="BB653" s="64"/>
      <c r="BC653" s="66"/>
      <c r="BD653" s="66"/>
      <c r="BE653" s="66"/>
    </row>
    <row r="654" spans="2:57" ht="21" customHeight="1" x14ac:dyDescent="0.2">
      <c r="B654" s="67">
        <v>16</v>
      </c>
      <c r="C654" s="73" t="s">
        <v>66</v>
      </c>
      <c r="D654" s="67">
        <v>15074</v>
      </c>
      <c r="E654" s="72" t="s">
        <v>874</v>
      </c>
      <c r="F654" s="79" t="s">
        <v>870</v>
      </c>
      <c r="G654" s="55">
        <v>42552</v>
      </c>
      <c r="H654" s="56" t="str">
        <f t="shared" si="812"/>
        <v>8 AÑOS</v>
      </c>
      <c r="I654" s="57">
        <v>4197.8327533317906</v>
      </c>
      <c r="J654" s="58"/>
      <c r="K654" s="58"/>
      <c r="L654" s="59"/>
      <c r="M654" s="60">
        <v>4.0000000000000002E-4</v>
      </c>
      <c r="N654" s="61">
        <f t="shared" si="813"/>
        <v>167.91331013327164</v>
      </c>
      <c r="O654" s="58">
        <f t="shared" si="814"/>
        <v>4365.7460634650624</v>
      </c>
      <c r="P654" s="61">
        <f t="shared" si="802"/>
        <v>8731.4921269301249</v>
      </c>
      <c r="Q654" s="61">
        <f t="shared" si="803"/>
        <v>6548.6190951975932</v>
      </c>
      <c r="R654" s="61">
        <f t="shared" si="804"/>
        <v>2182.8730317325312</v>
      </c>
      <c r="S654" s="61">
        <f t="shared" si="805"/>
        <v>291.04973756433748</v>
      </c>
      <c r="T654" s="58">
        <f t="shared" si="806"/>
        <v>334.09599375010299</v>
      </c>
      <c r="U654" s="61">
        <f t="shared" si="807"/>
        <v>3274.3095475987966</v>
      </c>
      <c r="V654" s="58">
        <f t="shared" si="808"/>
        <v>1091.4365158662656</v>
      </c>
      <c r="W654" s="101">
        <v>2.5000000000000001E-2</v>
      </c>
      <c r="X654" s="63">
        <f t="shared" si="815"/>
        <v>218.28730317325312</v>
      </c>
      <c r="Y654" s="61">
        <v>149.32902155749809</v>
      </c>
      <c r="Z654" s="61">
        <v>0</v>
      </c>
      <c r="AA654" s="61">
        <f t="shared" si="816"/>
        <v>1091.4365158662656</v>
      </c>
      <c r="AB654" s="61">
        <f t="shared" si="817"/>
        <v>218.28730317325312</v>
      </c>
      <c r="AC654" s="61">
        <v>1618.5485292496594</v>
      </c>
      <c r="AD654" s="61">
        <v>816.64754232306427</v>
      </c>
      <c r="AE654" s="61">
        <v>517.84879031265962</v>
      </c>
      <c r="AF654" s="61">
        <v>0</v>
      </c>
      <c r="AG654" s="61">
        <f t="shared" si="818"/>
        <v>301.23647837908931</v>
      </c>
      <c r="AH654" s="64"/>
      <c r="AI654" s="64"/>
      <c r="AJ654" s="67">
        <v>16</v>
      </c>
      <c r="AK654" s="73" t="s">
        <v>66</v>
      </c>
      <c r="AL654" s="67">
        <v>15074</v>
      </c>
      <c r="AM654" s="72" t="s">
        <v>874</v>
      </c>
      <c r="AN654" s="79" t="s">
        <v>870</v>
      </c>
      <c r="AO654" s="138">
        <f t="shared" si="835"/>
        <v>78583.429142371111</v>
      </c>
      <c r="AP654" s="65">
        <f t="shared" si="836"/>
        <v>26194.476380790373</v>
      </c>
      <c r="AQ654" s="65">
        <f t="shared" si="837"/>
        <v>2619.4476380790375</v>
      </c>
      <c r="AR654" s="65">
        <f t="shared" si="838"/>
        <v>1791.9482586899771</v>
      </c>
      <c r="AS654" s="65">
        <f t="shared" si="839"/>
        <v>0</v>
      </c>
      <c r="AT654" s="65">
        <f t="shared" si="840"/>
        <v>13097.238190395186</v>
      </c>
      <c r="AU654" s="65">
        <f t="shared" si="841"/>
        <v>2619.4476380790375</v>
      </c>
      <c r="AV654" s="65">
        <f t="shared" si="842"/>
        <v>19422.582350995912</v>
      </c>
      <c r="AW654" s="65">
        <f t="shared" si="843"/>
        <v>9799.7705078767722</v>
      </c>
      <c r="AX654" s="65">
        <f t="shared" si="844"/>
        <v>6214.1854837519149</v>
      </c>
      <c r="AY654" s="65">
        <f t="shared" si="845"/>
        <v>0</v>
      </c>
      <c r="AZ654" s="65">
        <f t="shared" si="846"/>
        <v>3614.8377405490719</v>
      </c>
      <c r="BB654" s="64"/>
      <c r="BC654" s="66"/>
      <c r="BD654" s="66"/>
      <c r="BE654" s="66"/>
    </row>
    <row r="655" spans="2:57" ht="21" customHeight="1" x14ac:dyDescent="0.2">
      <c r="B655" s="67">
        <v>17</v>
      </c>
      <c r="C655" s="73" t="s">
        <v>66</v>
      </c>
      <c r="D655" s="67">
        <v>15084</v>
      </c>
      <c r="E655" s="73" t="s">
        <v>875</v>
      </c>
      <c r="F655" s="79" t="s">
        <v>870</v>
      </c>
      <c r="G655" s="55">
        <v>44409</v>
      </c>
      <c r="H655" s="56" t="str">
        <f t="shared" si="812"/>
        <v>3 AÑOS</v>
      </c>
      <c r="I655" s="57">
        <v>4197.8327533317906</v>
      </c>
      <c r="J655" s="58"/>
      <c r="K655" s="58"/>
      <c r="L655" s="59"/>
      <c r="M655" s="60">
        <v>4.0000000000000002E-4</v>
      </c>
      <c r="N655" s="61">
        <f t="shared" si="813"/>
        <v>167.91331013327164</v>
      </c>
      <c r="O655" s="58">
        <f t="shared" si="814"/>
        <v>4365.7460634650624</v>
      </c>
      <c r="P655" s="61">
        <f t="shared" si="802"/>
        <v>8731.4921269301249</v>
      </c>
      <c r="Q655" s="61">
        <f t="shared" si="803"/>
        <v>6548.6190951975932</v>
      </c>
      <c r="R655" s="61">
        <f t="shared" si="804"/>
        <v>2182.8730317325312</v>
      </c>
      <c r="S655" s="61">
        <f t="shared" si="805"/>
        <v>291.04973756433748</v>
      </c>
      <c r="T655" s="58">
        <f t="shared" si="806"/>
        <v>334.09599375010299</v>
      </c>
      <c r="U655" s="61">
        <f t="shared" si="807"/>
        <v>3274.3095475987966</v>
      </c>
      <c r="V655" s="58">
        <f t="shared" si="808"/>
        <v>1091.4365158662656</v>
      </c>
      <c r="W655" s="101">
        <v>0</v>
      </c>
      <c r="X655" s="63">
        <f t="shared" si="815"/>
        <v>0</v>
      </c>
      <c r="Y655" s="61">
        <v>149.32902155749809</v>
      </c>
      <c r="Z655" s="61">
        <v>0</v>
      </c>
      <c r="AA655" s="61">
        <f t="shared" si="816"/>
        <v>1091.4365158662656</v>
      </c>
      <c r="AB655" s="61">
        <f t="shared" si="817"/>
        <v>218.28730317325312</v>
      </c>
      <c r="AC655" s="61">
        <v>1618.5485292496594</v>
      </c>
      <c r="AD655" s="61">
        <v>816.64754232306427</v>
      </c>
      <c r="AE655" s="61">
        <v>517.84879031265962</v>
      </c>
      <c r="AF655" s="61">
        <v>0</v>
      </c>
      <c r="AG655" s="61">
        <f t="shared" si="818"/>
        <v>301.23647837908931</v>
      </c>
      <c r="AH655" s="64"/>
      <c r="AI655" s="64"/>
      <c r="AJ655" s="67">
        <v>17</v>
      </c>
      <c r="AK655" s="73" t="s">
        <v>66</v>
      </c>
      <c r="AL655" s="67">
        <v>15084</v>
      </c>
      <c r="AM655" s="73" t="s">
        <v>875</v>
      </c>
      <c r="AN655" s="79" t="s">
        <v>870</v>
      </c>
      <c r="AO655" s="138">
        <f t="shared" si="835"/>
        <v>78583.429142371111</v>
      </c>
      <c r="AP655" s="65">
        <f t="shared" si="836"/>
        <v>26194.476380790373</v>
      </c>
      <c r="AQ655" s="65">
        <f t="shared" si="837"/>
        <v>0</v>
      </c>
      <c r="AR655" s="65">
        <f t="shared" si="838"/>
        <v>1791.9482586899771</v>
      </c>
      <c r="AS655" s="65">
        <f t="shared" si="839"/>
        <v>0</v>
      </c>
      <c r="AT655" s="65">
        <f t="shared" si="840"/>
        <v>13097.238190395186</v>
      </c>
      <c r="AU655" s="65">
        <f t="shared" si="841"/>
        <v>2619.4476380790375</v>
      </c>
      <c r="AV655" s="65">
        <f t="shared" si="842"/>
        <v>19422.582350995912</v>
      </c>
      <c r="AW655" s="65">
        <f t="shared" si="843"/>
        <v>9799.7705078767722</v>
      </c>
      <c r="AX655" s="65">
        <f t="shared" si="844"/>
        <v>6214.1854837519149</v>
      </c>
      <c r="AY655" s="65">
        <f t="shared" si="845"/>
        <v>0</v>
      </c>
      <c r="AZ655" s="65">
        <f t="shared" si="846"/>
        <v>3614.8377405490719</v>
      </c>
      <c r="BB655" s="64"/>
      <c r="BC655" s="66"/>
      <c r="BD655" s="66"/>
      <c r="BE655" s="66"/>
    </row>
    <row r="656" spans="2:57" ht="21" customHeight="1" x14ac:dyDescent="0.2">
      <c r="B656" s="67">
        <v>18</v>
      </c>
      <c r="C656" s="73" t="s">
        <v>66</v>
      </c>
      <c r="D656" s="67">
        <v>15088</v>
      </c>
      <c r="E656" s="72" t="s">
        <v>876</v>
      </c>
      <c r="F656" s="79" t="s">
        <v>870</v>
      </c>
      <c r="G656" s="55">
        <v>44636</v>
      </c>
      <c r="H656" s="56" t="str">
        <f t="shared" si="812"/>
        <v>2 AÑOS</v>
      </c>
      <c r="I656" s="57">
        <v>4197.8327533317906</v>
      </c>
      <c r="J656" s="58"/>
      <c r="K656" s="58"/>
      <c r="L656" s="59"/>
      <c r="M656" s="60">
        <v>4.0000000000000002E-4</v>
      </c>
      <c r="N656" s="61">
        <f t="shared" si="813"/>
        <v>167.91331013327164</v>
      </c>
      <c r="O656" s="58">
        <f t="shared" si="814"/>
        <v>4365.7460634650624</v>
      </c>
      <c r="P656" s="61">
        <f t="shared" si="802"/>
        <v>8731.4921269301249</v>
      </c>
      <c r="Q656" s="61">
        <f t="shared" si="803"/>
        <v>6548.6190951975932</v>
      </c>
      <c r="R656" s="61">
        <f t="shared" si="804"/>
        <v>2182.8730317325312</v>
      </c>
      <c r="S656" s="61">
        <f t="shared" si="805"/>
        <v>291.04973756433748</v>
      </c>
      <c r="T656" s="58">
        <f t="shared" si="806"/>
        <v>334.09599375010299</v>
      </c>
      <c r="U656" s="61">
        <f t="shared" si="807"/>
        <v>3274.3095475987966</v>
      </c>
      <c r="V656" s="58">
        <f t="shared" si="808"/>
        <v>1091.4365158662656</v>
      </c>
      <c r="W656" s="101">
        <v>0</v>
      </c>
      <c r="X656" s="63">
        <f t="shared" si="815"/>
        <v>0</v>
      </c>
      <c r="Y656" s="61">
        <v>149.32902155749809</v>
      </c>
      <c r="Z656" s="61">
        <v>0</v>
      </c>
      <c r="AA656" s="61">
        <f t="shared" si="816"/>
        <v>1091.4365158662656</v>
      </c>
      <c r="AB656" s="61">
        <f t="shared" si="817"/>
        <v>218.28730317325312</v>
      </c>
      <c r="AC656" s="61">
        <v>1618.5485292496594</v>
      </c>
      <c r="AD656" s="61">
        <v>816.64754232306427</v>
      </c>
      <c r="AE656" s="61">
        <v>517.84879031265962</v>
      </c>
      <c r="AF656" s="61">
        <v>0</v>
      </c>
      <c r="AG656" s="61">
        <f t="shared" si="818"/>
        <v>301.23647837908931</v>
      </c>
      <c r="AH656" s="64"/>
      <c r="AI656" s="64"/>
      <c r="AJ656" s="67">
        <v>18</v>
      </c>
      <c r="AK656" s="73" t="s">
        <v>66</v>
      </c>
      <c r="AL656" s="67">
        <v>15088</v>
      </c>
      <c r="AM656" s="72" t="s">
        <v>876</v>
      </c>
      <c r="AN656" s="79" t="s">
        <v>870</v>
      </c>
      <c r="AO656" s="138">
        <f t="shared" si="835"/>
        <v>78583.429142371111</v>
      </c>
      <c r="AP656" s="65">
        <f t="shared" si="836"/>
        <v>26194.476380790373</v>
      </c>
      <c r="AQ656" s="65">
        <f t="shared" si="837"/>
        <v>0</v>
      </c>
      <c r="AR656" s="65">
        <f t="shared" si="838"/>
        <v>1791.9482586899771</v>
      </c>
      <c r="AS656" s="65">
        <f t="shared" si="839"/>
        <v>0</v>
      </c>
      <c r="AT656" s="65">
        <f t="shared" si="840"/>
        <v>13097.238190395186</v>
      </c>
      <c r="AU656" s="65">
        <f t="shared" si="841"/>
        <v>2619.4476380790375</v>
      </c>
      <c r="AV656" s="65">
        <f t="shared" si="842"/>
        <v>19422.582350995912</v>
      </c>
      <c r="AW656" s="65">
        <f t="shared" si="843"/>
        <v>9799.7705078767722</v>
      </c>
      <c r="AX656" s="65">
        <f t="shared" si="844"/>
        <v>6214.1854837519149</v>
      </c>
      <c r="AY656" s="65">
        <f t="shared" si="845"/>
        <v>0</v>
      </c>
      <c r="AZ656" s="65">
        <f t="shared" si="846"/>
        <v>3614.8377405490719</v>
      </c>
      <c r="BB656" s="64"/>
      <c r="BC656" s="66"/>
      <c r="BD656" s="66"/>
      <c r="BE656" s="66"/>
    </row>
    <row r="657" spans="1:177" ht="21" customHeight="1" x14ac:dyDescent="0.2">
      <c r="B657" s="67">
        <v>19</v>
      </c>
      <c r="C657" s="73" t="s">
        <v>66</v>
      </c>
      <c r="D657" s="67">
        <v>15090</v>
      </c>
      <c r="E657" s="72" t="s">
        <v>877</v>
      </c>
      <c r="F657" s="79" t="s">
        <v>870</v>
      </c>
      <c r="G657" s="55">
        <v>44958</v>
      </c>
      <c r="H657" s="56" t="str">
        <f t="shared" si="812"/>
        <v>1 AÑOS</v>
      </c>
      <c r="I657" s="57">
        <v>4197.8327533317906</v>
      </c>
      <c r="J657" s="58"/>
      <c r="K657" s="58"/>
      <c r="L657" s="59"/>
      <c r="M657" s="60">
        <v>4.0000000000000002E-4</v>
      </c>
      <c r="N657" s="61">
        <f t="shared" si="813"/>
        <v>167.91331013327164</v>
      </c>
      <c r="O657" s="58">
        <f t="shared" si="814"/>
        <v>4365.7460634650624</v>
      </c>
      <c r="P657" s="61">
        <f t="shared" si="802"/>
        <v>8731.4921269301249</v>
      </c>
      <c r="Q657" s="61">
        <f t="shared" si="803"/>
        <v>6548.6190951975932</v>
      </c>
      <c r="R657" s="61">
        <f t="shared" si="804"/>
        <v>2182.8730317325312</v>
      </c>
      <c r="S657" s="61">
        <f t="shared" si="805"/>
        <v>291.04973756433748</v>
      </c>
      <c r="T657" s="58">
        <f t="shared" si="806"/>
        <v>334.09599375010299</v>
      </c>
      <c r="U657" s="61">
        <f t="shared" si="807"/>
        <v>3274.3095475987966</v>
      </c>
      <c r="V657" s="58">
        <f t="shared" si="808"/>
        <v>1091.4365158662656</v>
      </c>
      <c r="W657" s="101">
        <v>0</v>
      </c>
      <c r="X657" s="63">
        <f t="shared" si="815"/>
        <v>0</v>
      </c>
      <c r="Y657" s="61">
        <v>149.32902155749809</v>
      </c>
      <c r="Z657" s="61">
        <v>0</v>
      </c>
      <c r="AA657" s="61">
        <f t="shared" si="816"/>
        <v>1091.4365158662656</v>
      </c>
      <c r="AB657" s="61">
        <f t="shared" si="817"/>
        <v>218.28730317325312</v>
      </c>
      <c r="AC657" s="61">
        <v>1618.5485292496594</v>
      </c>
      <c r="AD657" s="61">
        <v>816.64754232306427</v>
      </c>
      <c r="AE657" s="61">
        <v>517.84879031265962</v>
      </c>
      <c r="AF657" s="61">
        <v>0</v>
      </c>
      <c r="AG657" s="61">
        <f t="shared" si="818"/>
        <v>301.23647837908931</v>
      </c>
      <c r="AH657" s="64"/>
      <c r="AI657" s="64"/>
      <c r="AJ657" s="67">
        <v>19</v>
      </c>
      <c r="AK657" s="73" t="s">
        <v>66</v>
      </c>
      <c r="AL657" s="67">
        <v>15090</v>
      </c>
      <c r="AM657" s="72" t="s">
        <v>877</v>
      </c>
      <c r="AN657" s="79" t="s">
        <v>870</v>
      </c>
      <c r="AO657" s="138">
        <f t="shared" si="835"/>
        <v>78583.429142371111</v>
      </c>
      <c r="AP657" s="65">
        <f t="shared" si="836"/>
        <v>26194.476380790373</v>
      </c>
      <c r="AQ657" s="65">
        <f t="shared" si="837"/>
        <v>0</v>
      </c>
      <c r="AR657" s="65">
        <f t="shared" si="838"/>
        <v>1791.9482586899771</v>
      </c>
      <c r="AS657" s="65">
        <f t="shared" si="839"/>
        <v>0</v>
      </c>
      <c r="AT657" s="65">
        <f t="shared" si="840"/>
        <v>13097.238190395186</v>
      </c>
      <c r="AU657" s="65">
        <f t="shared" si="841"/>
        <v>2619.4476380790375</v>
      </c>
      <c r="AV657" s="65">
        <f t="shared" si="842"/>
        <v>19422.582350995912</v>
      </c>
      <c r="AW657" s="65">
        <f t="shared" si="843"/>
        <v>9799.7705078767722</v>
      </c>
      <c r="AX657" s="65">
        <f t="shared" si="844"/>
        <v>6214.1854837519149</v>
      </c>
      <c r="AY657" s="65">
        <f t="shared" si="845"/>
        <v>0</v>
      </c>
      <c r="AZ657" s="65">
        <f t="shared" si="846"/>
        <v>3614.8377405490719</v>
      </c>
      <c r="BB657" s="64"/>
      <c r="BC657" s="66"/>
      <c r="BD657" s="66"/>
      <c r="BE657" s="66"/>
    </row>
    <row r="658" spans="1:177" ht="21" customHeight="1" x14ac:dyDescent="0.2">
      <c r="B658" s="67">
        <v>20</v>
      </c>
      <c r="C658" s="73" t="s">
        <v>66</v>
      </c>
      <c r="D658" s="67">
        <v>15056</v>
      </c>
      <c r="E658" s="72" t="s">
        <v>878</v>
      </c>
      <c r="F658" s="79" t="s">
        <v>870</v>
      </c>
      <c r="G658" s="55">
        <v>39665</v>
      </c>
      <c r="H658" s="56" t="str">
        <f t="shared" si="812"/>
        <v>16 AÑOS</v>
      </c>
      <c r="I658" s="57">
        <v>4197.8327533317906</v>
      </c>
      <c r="J658" s="58"/>
      <c r="K658" s="58"/>
      <c r="L658" s="59"/>
      <c r="M658" s="60">
        <v>4.0000000000000002E-4</v>
      </c>
      <c r="N658" s="61">
        <f t="shared" si="813"/>
        <v>167.91331013327164</v>
      </c>
      <c r="O658" s="58">
        <f t="shared" si="814"/>
        <v>4365.7460634650624</v>
      </c>
      <c r="P658" s="61">
        <f t="shared" si="802"/>
        <v>8731.4921269301249</v>
      </c>
      <c r="Q658" s="61">
        <f t="shared" si="803"/>
        <v>6548.6190951975932</v>
      </c>
      <c r="R658" s="61">
        <f t="shared" si="804"/>
        <v>2182.8730317325312</v>
      </c>
      <c r="S658" s="61">
        <f t="shared" si="805"/>
        <v>291.04973756433748</v>
      </c>
      <c r="T658" s="58">
        <f t="shared" si="806"/>
        <v>334.09599375010299</v>
      </c>
      <c r="U658" s="61">
        <f t="shared" si="807"/>
        <v>3274.3095475987966</v>
      </c>
      <c r="V658" s="58">
        <f t="shared" si="808"/>
        <v>1091.4365158662656</v>
      </c>
      <c r="W658" s="101">
        <v>7.4999999999999997E-2</v>
      </c>
      <c r="X658" s="63">
        <f t="shared" si="815"/>
        <v>654.86190951975937</v>
      </c>
      <c r="Y658" s="61">
        <v>149.32902155749809</v>
      </c>
      <c r="Z658" s="61">
        <v>0</v>
      </c>
      <c r="AA658" s="61">
        <f t="shared" si="816"/>
        <v>1091.4365158662656</v>
      </c>
      <c r="AB658" s="61">
        <f t="shared" si="817"/>
        <v>218.28730317325312</v>
      </c>
      <c r="AC658" s="61">
        <v>1618.5485292496594</v>
      </c>
      <c r="AD658" s="61">
        <v>816.64754232306427</v>
      </c>
      <c r="AE658" s="61">
        <v>517.84879031265962</v>
      </c>
      <c r="AF658" s="61">
        <v>0</v>
      </c>
      <c r="AG658" s="61">
        <f t="shared" si="818"/>
        <v>301.23647837908931</v>
      </c>
      <c r="AH658" s="64"/>
      <c r="AI658" s="64"/>
      <c r="AJ658" s="67">
        <v>20</v>
      </c>
      <c r="AK658" s="73" t="s">
        <v>66</v>
      </c>
      <c r="AL658" s="67">
        <v>15056</v>
      </c>
      <c r="AM658" s="72" t="s">
        <v>878</v>
      </c>
      <c r="AN658" s="79" t="s">
        <v>870</v>
      </c>
      <c r="AO658" s="138">
        <f t="shared" si="835"/>
        <v>78583.429142371111</v>
      </c>
      <c r="AP658" s="65">
        <f t="shared" si="836"/>
        <v>26194.476380790373</v>
      </c>
      <c r="AQ658" s="65">
        <f t="shared" si="837"/>
        <v>7858.3429142371124</v>
      </c>
      <c r="AR658" s="65">
        <f t="shared" si="838"/>
        <v>1791.9482586899771</v>
      </c>
      <c r="AS658" s="65">
        <f t="shared" si="839"/>
        <v>0</v>
      </c>
      <c r="AT658" s="65">
        <f t="shared" si="840"/>
        <v>13097.238190395186</v>
      </c>
      <c r="AU658" s="65">
        <f t="shared" si="841"/>
        <v>2619.4476380790375</v>
      </c>
      <c r="AV658" s="65">
        <f t="shared" si="842"/>
        <v>19422.582350995912</v>
      </c>
      <c r="AW658" s="65">
        <f t="shared" si="843"/>
        <v>9799.7705078767722</v>
      </c>
      <c r="AX658" s="65">
        <f t="shared" si="844"/>
        <v>6214.1854837519149</v>
      </c>
      <c r="AY658" s="65">
        <f t="shared" si="845"/>
        <v>0</v>
      </c>
      <c r="AZ658" s="65">
        <f t="shared" si="846"/>
        <v>3614.8377405490719</v>
      </c>
      <c r="BB658" s="64"/>
      <c r="BC658" s="66"/>
      <c r="BD658" s="66"/>
      <c r="BE658" s="66"/>
    </row>
    <row r="659" spans="1:177" ht="21" customHeight="1" x14ac:dyDescent="0.2">
      <c r="B659" s="67">
        <v>21</v>
      </c>
      <c r="C659" s="73" t="s">
        <v>66</v>
      </c>
      <c r="D659" s="67">
        <v>15032</v>
      </c>
      <c r="E659" s="72" t="s">
        <v>879</v>
      </c>
      <c r="F659" s="79" t="s">
        <v>870</v>
      </c>
      <c r="G659" s="55">
        <v>37316</v>
      </c>
      <c r="H659" s="56" t="str">
        <f t="shared" si="812"/>
        <v>22 AÑOS</v>
      </c>
      <c r="I659" s="57">
        <v>4197.8327533317906</v>
      </c>
      <c r="J659" s="58"/>
      <c r="K659" s="58"/>
      <c r="L659" s="59"/>
      <c r="M659" s="60">
        <v>4.0000000000000002E-4</v>
      </c>
      <c r="N659" s="61">
        <f t="shared" si="813"/>
        <v>167.91331013327164</v>
      </c>
      <c r="O659" s="58">
        <f t="shared" si="814"/>
        <v>4365.7460634650624</v>
      </c>
      <c r="P659" s="61">
        <f t="shared" si="802"/>
        <v>8731.4921269301249</v>
      </c>
      <c r="Q659" s="61">
        <f t="shared" si="803"/>
        <v>6548.6190951975932</v>
      </c>
      <c r="R659" s="61">
        <f t="shared" si="804"/>
        <v>2182.8730317325312</v>
      </c>
      <c r="S659" s="61">
        <f t="shared" si="805"/>
        <v>291.04973756433748</v>
      </c>
      <c r="T659" s="58">
        <f t="shared" si="806"/>
        <v>334.09599375010299</v>
      </c>
      <c r="U659" s="61">
        <f t="shared" si="807"/>
        <v>3274.3095475987966</v>
      </c>
      <c r="V659" s="58">
        <f t="shared" si="808"/>
        <v>1091.4365158662656</v>
      </c>
      <c r="W659" s="101">
        <v>7.4999999999999997E-2</v>
      </c>
      <c r="X659" s="63">
        <f t="shared" si="815"/>
        <v>654.86190951975937</v>
      </c>
      <c r="Y659" s="61">
        <v>149.32902155749809</v>
      </c>
      <c r="Z659" s="61">
        <v>0</v>
      </c>
      <c r="AA659" s="61">
        <f t="shared" si="816"/>
        <v>1091.4365158662656</v>
      </c>
      <c r="AB659" s="61">
        <f t="shared" si="817"/>
        <v>218.28730317325312</v>
      </c>
      <c r="AC659" s="61">
        <v>1618.5485292496594</v>
      </c>
      <c r="AD659" s="61">
        <v>816.64754232306427</v>
      </c>
      <c r="AE659" s="61">
        <v>517.84879031265962</v>
      </c>
      <c r="AF659" s="61">
        <v>0</v>
      </c>
      <c r="AG659" s="61">
        <f t="shared" si="818"/>
        <v>301.23647837908931</v>
      </c>
      <c r="AH659" s="64"/>
      <c r="AI659" s="64"/>
      <c r="AJ659" s="67">
        <v>21</v>
      </c>
      <c r="AK659" s="73" t="s">
        <v>66</v>
      </c>
      <c r="AL659" s="67">
        <v>15032</v>
      </c>
      <c r="AM659" s="72" t="s">
        <v>879</v>
      </c>
      <c r="AN659" s="79" t="s">
        <v>870</v>
      </c>
      <c r="AO659" s="138">
        <f t="shared" si="835"/>
        <v>78583.429142371111</v>
      </c>
      <c r="AP659" s="65">
        <f t="shared" si="836"/>
        <v>26194.476380790373</v>
      </c>
      <c r="AQ659" s="65">
        <f t="shared" si="837"/>
        <v>7858.3429142371124</v>
      </c>
      <c r="AR659" s="65">
        <f t="shared" si="838"/>
        <v>1791.9482586899771</v>
      </c>
      <c r="AS659" s="65">
        <f t="shared" si="839"/>
        <v>0</v>
      </c>
      <c r="AT659" s="65">
        <f t="shared" si="840"/>
        <v>13097.238190395186</v>
      </c>
      <c r="AU659" s="65">
        <f t="shared" si="841"/>
        <v>2619.4476380790375</v>
      </c>
      <c r="AV659" s="65">
        <f t="shared" si="842"/>
        <v>19422.582350995912</v>
      </c>
      <c r="AW659" s="65">
        <f t="shared" si="843"/>
        <v>9799.7705078767722</v>
      </c>
      <c r="AX659" s="65">
        <f t="shared" si="844"/>
        <v>6214.1854837519149</v>
      </c>
      <c r="AY659" s="65">
        <f t="shared" si="845"/>
        <v>0</v>
      </c>
      <c r="AZ659" s="65">
        <f t="shared" si="846"/>
        <v>3614.8377405490719</v>
      </c>
      <c r="BB659" s="64"/>
      <c r="BC659" s="66"/>
      <c r="BD659" s="66"/>
      <c r="BE659" s="66"/>
    </row>
    <row r="660" spans="1:177" ht="21" customHeight="1" x14ac:dyDescent="0.2">
      <c r="B660" s="67">
        <v>22</v>
      </c>
      <c r="C660" s="73" t="s">
        <v>66</v>
      </c>
      <c r="D660" s="67">
        <v>15012</v>
      </c>
      <c r="E660" s="53" t="s">
        <v>880</v>
      </c>
      <c r="F660" s="79" t="s">
        <v>870</v>
      </c>
      <c r="G660" s="55">
        <v>36566</v>
      </c>
      <c r="H660" s="56" t="str">
        <f t="shared" si="812"/>
        <v>24 AÑOS</v>
      </c>
      <c r="I660" s="57">
        <v>4197.8327533317906</v>
      </c>
      <c r="J660" s="58"/>
      <c r="K660" s="58"/>
      <c r="L660" s="59"/>
      <c r="M660" s="60">
        <v>4.0000000000000002E-4</v>
      </c>
      <c r="N660" s="61">
        <f t="shared" si="813"/>
        <v>167.91331013327164</v>
      </c>
      <c r="O660" s="58">
        <f t="shared" si="814"/>
        <v>4365.7460634650624</v>
      </c>
      <c r="P660" s="61">
        <f t="shared" si="802"/>
        <v>8731.4921269301249</v>
      </c>
      <c r="Q660" s="61">
        <f t="shared" si="803"/>
        <v>6548.6190951975932</v>
      </c>
      <c r="R660" s="61">
        <f t="shared" si="804"/>
        <v>2182.8730317325312</v>
      </c>
      <c r="S660" s="61">
        <f t="shared" si="805"/>
        <v>291.04973756433748</v>
      </c>
      <c r="T660" s="58">
        <f t="shared" si="806"/>
        <v>334.09599375010299</v>
      </c>
      <c r="U660" s="61">
        <f t="shared" si="807"/>
        <v>3274.3095475987966</v>
      </c>
      <c r="V660" s="58">
        <f t="shared" si="808"/>
        <v>1091.4365158662656</v>
      </c>
      <c r="W660" s="101">
        <v>7.4999999999999997E-2</v>
      </c>
      <c r="X660" s="63">
        <f t="shared" si="815"/>
        <v>654.86190951975937</v>
      </c>
      <c r="Y660" s="61">
        <v>149.32902155749809</v>
      </c>
      <c r="Z660" s="61">
        <v>0</v>
      </c>
      <c r="AA660" s="61">
        <f t="shared" si="816"/>
        <v>1091.4365158662656</v>
      </c>
      <c r="AB660" s="61">
        <f t="shared" si="817"/>
        <v>218.28730317325312</v>
      </c>
      <c r="AC660" s="61">
        <v>1618.5485292496594</v>
      </c>
      <c r="AD660" s="61">
        <v>816.64754232306427</v>
      </c>
      <c r="AE660" s="61">
        <v>517.84879031265962</v>
      </c>
      <c r="AF660" s="61">
        <v>0</v>
      </c>
      <c r="AG660" s="61">
        <f t="shared" si="818"/>
        <v>301.23647837908931</v>
      </c>
      <c r="AH660" s="64"/>
      <c r="AI660" s="64"/>
      <c r="AJ660" s="67">
        <v>22</v>
      </c>
      <c r="AK660" s="73" t="s">
        <v>66</v>
      </c>
      <c r="AL660" s="67">
        <v>15012</v>
      </c>
      <c r="AM660" s="53" t="s">
        <v>880</v>
      </c>
      <c r="AN660" s="79" t="s">
        <v>870</v>
      </c>
      <c r="AO660" s="138">
        <f t="shared" si="835"/>
        <v>78583.429142371111</v>
      </c>
      <c r="AP660" s="65">
        <f t="shared" si="836"/>
        <v>26194.476380790373</v>
      </c>
      <c r="AQ660" s="65">
        <f t="shared" si="837"/>
        <v>7858.3429142371124</v>
      </c>
      <c r="AR660" s="65">
        <f t="shared" si="838"/>
        <v>1791.9482586899771</v>
      </c>
      <c r="AS660" s="65">
        <f t="shared" si="839"/>
        <v>0</v>
      </c>
      <c r="AT660" s="65">
        <f t="shared" si="840"/>
        <v>13097.238190395186</v>
      </c>
      <c r="AU660" s="65">
        <f t="shared" si="841"/>
        <v>2619.4476380790375</v>
      </c>
      <c r="AV660" s="65">
        <f t="shared" si="842"/>
        <v>19422.582350995912</v>
      </c>
      <c r="AW660" s="65">
        <f t="shared" si="843"/>
        <v>9799.7705078767722</v>
      </c>
      <c r="AX660" s="65">
        <f t="shared" si="844"/>
        <v>6214.1854837519149</v>
      </c>
      <c r="AY660" s="65">
        <f t="shared" si="845"/>
        <v>0</v>
      </c>
      <c r="AZ660" s="65">
        <f t="shared" si="846"/>
        <v>3614.8377405490719</v>
      </c>
      <c r="BB660" s="64"/>
      <c r="BC660" s="66"/>
      <c r="BD660" s="66"/>
      <c r="BE660" s="66"/>
    </row>
    <row r="661" spans="1:177" s="96" customFormat="1" ht="21" customHeight="1" x14ac:dyDescent="0.2">
      <c r="A661" s="50"/>
      <c r="B661" s="502" t="s">
        <v>99</v>
      </c>
      <c r="C661" s="503"/>
      <c r="D661" s="503"/>
      <c r="E661" s="143">
        <v>22</v>
      </c>
      <c r="F661" s="166" t="s">
        <v>100</v>
      </c>
      <c r="G661" s="29"/>
      <c r="H661" s="244" t="str">
        <f t="shared" si="812"/>
        <v>124 AÑOS</v>
      </c>
      <c r="I661" s="91">
        <f>SUM(I640:I660)</f>
        <v>88154.487689354006</v>
      </c>
      <c r="J661" s="91">
        <f t="shared" ref="J661:AG661" si="847">SUM(J640:J660)</f>
        <v>0</v>
      </c>
      <c r="K661" s="91">
        <f t="shared" si="847"/>
        <v>0</v>
      </c>
      <c r="L661" s="140">
        <f t="shared" si="847"/>
        <v>0</v>
      </c>
      <c r="M661" s="91">
        <f t="shared" si="847"/>
        <v>8.4000000000000012E-3</v>
      </c>
      <c r="N661" s="91">
        <f t="shared" si="847"/>
        <v>3526.1795075741607</v>
      </c>
      <c r="O661" s="91">
        <f t="shared" si="847"/>
        <v>91680.66719692816</v>
      </c>
      <c r="P661" s="91">
        <f t="shared" si="847"/>
        <v>183361.33439385632</v>
      </c>
      <c r="Q661" s="91">
        <f t="shared" si="847"/>
        <v>137521.00079539217</v>
      </c>
      <c r="R661" s="91">
        <f t="shared" si="847"/>
        <v>45840.33359846408</v>
      </c>
      <c r="S661" s="91">
        <f t="shared" si="847"/>
        <v>6112.0444797952086</v>
      </c>
      <c r="T661" s="91">
        <f t="shared" si="847"/>
        <v>7016.01585835692</v>
      </c>
      <c r="U661" s="141">
        <f t="shared" si="847"/>
        <v>68760.500397696087</v>
      </c>
      <c r="V661" s="91">
        <f t="shared" si="847"/>
        <v>22920.16679923204</v>
      </c>
      <c r="W661" s="91">
        <f t="shared" si="847"/>
        <v>0.82499999999999996</v>
      </c>
      <c r="X661" s="91">
        <f t="shared" si="847"/>
        <v>7203.4809979254442</v>
      </c>
      <c r="Y661" s="91">
        <f t="shared" si="847"/>
        <v>3135.9094305386711</v>
      </c>
      <c r="Z661" s="91">
        <f t="shared" si="847"/>
        <v>0</v>
      </c>
      <c r="AA661" s="91">
        <f t="shared" si="847"/>
        <v>22920.16679923204</v>
      </c>
      <c r="AB661" s="91">
        <f t="shared" si="847"/>
        <v>4584.0333598464094</v>
      </c>
      <c r="AC661" s="91">
        <f t="shared" si="847"/>
        <v>33989.519080945691</v>
      </c>
      <c r="AD661" s="91">
        <f t="shared" si="847"/>
        <v>17149.598363374738</v>
      </c>
      <c r="AE661" s="91">
        <f t="shared" si="847"/>
        <v>10874.824580453225</v>
      </c>
      <c r="AF661" s="91">
        <f t="shared" si="847"/>
        <v>0</v>
      </c>
      <c r="AG661" s="91">
        <f t="shared" si="847"/>
        <v>6325.9660365880409</v>
      </c>
      <c r="AH661" s="92"/>
      <c r="AI661" s="92"/>
      <c r="AJ661" s="502" t="s">
        <v>99</v>
      </c>
      <c r="AK661" s="503"/>
      <c r="AL661" s="503"/>
      <c r="AM661" s="143">
        <v>22</v>
      </c>
      <c r="AN661" s="166" t="s">
        <v>100</v>
      </c>
      <c r="AO661" s="144">
        <f>SUM(AO640:AO660)</f>
        <v>1584765.8185927302</v>
      </c>
      <c r="AP661" s="144">
        <f t="shared" ref="AP661:AZ661" si="848">SUM(AP640:AP660)</f>
        <v>528255.27286424336</v>
      </c>
      <c r="AQ661" s="144">
        <f t="shared" si="848"/>
        <v>84804.61720130594</v>
      </c>
      <c r="AR661" s="144">
        <f t="shared" si="848"/>
        <v>36137.622950889083</v>
      </c>
      <c r="AS661" s="144">
        <f t="shared" si="848"/>
        <v>0</v>
      </c>
      <c r="AT661" s="144">
        <f t="shared" si="848"/>
        <v>264127.63643212168</v>
      </c>
      <c r="AU661" s="144">
        <f t="shared" si="848"/>
        <v>52825.527286424352</v>
      </c>
      <c r="AV661" s="144">
        <f t="shared" si="848"/>
        <v>391688.74367885169</v>
      </c>
      <c r="AW661" s="144">
        <f t="shared" si="848"/>
        <v>197628.70493726621</v>
      </c>
      <c r="AX661" s="144">
        <f t="shared" si="848"/>
        <v>125319.40706231215</v>
      </c>
      <c r="AY661" s="144">
        <f t="shared" si="848"/>
        <v>0</v>
      </c>
      <c r="AZ661" s="144">
        <f t="shared" si="848"/>
        <v>72899.22765526564</v>
      </c>
      <c r="BA661" s="94"/>
      <c r="BB661" s="92"/>
      <c r="BC661" s="95"/>
      <c r="BD661" s="95"/>
      <c r="BE661" s="95"/>
      <c r="BF661" s="50"/>
      <c r="BG661" s="50"/>
      <c r="BH661" s="50"/>
      <c r="BI661" s="50"/>
      <c r="BJ661" s="50"/>
      <c r="BK661" s="50"/>
      <c r="BL661" s="50"/>
      <c r="BM661" s="50"/>
      <c r="BN661" s="50"/>
      <c r="BO661" s="50"/>
      <c r="BP661" s="50"/>
      <c r="BQ661" s="50"/>
      <c r="BR661" s="50"/>
      <c r="BS661" s="50"/>
      <c r="BT661" s="50"/>
      <c r="BU661" s="50"/>
      <c r="BV661" s="50"/>
      <c r="BW661" s="50"/>
      <c r="BX661" s="50"/>
      <c r="BY661" s="50"/>
      <c r="BZ661" s="50"/>
      <c r="CA661" s="50"/>
      <c r="CB661" s="50"/>
      <c r="CC661" s="50"/>
      <c r="CD661" s="50"/>
      <c r="CE661" s="50"/>
      <c r="CF661" s="50"/>
      <c r="CG661" s="50"/>
      <c r="CH661" s="50"/>
      <c r="CI661" s="50"/>
      <c r="CJ661" s="50"/>
      <c r="CK661" s="50"/>
      <c r="CL661" s="50"/>
      <c r="CM661" s="50"/>
      <c r="CN661" s="50"/>
      <c r="CO661" s="50"/>
      <c r="CP661" s="50"/>
      <c r="CQ661" s="50"/>
      <c r="CR661" s="50"/>
      <c r="CS661" s="50"/>
      <c r="CT661" s="50"/>
      <c r="CU661" s="50"/>
      <c r="CV661" s="50"/>
      <c r="CW661" s="50"/>
      <c r="CX661" s="50"/>
      <c r="CY661" s="50"/>
      <c r="CZ661" s="50"/>
      <c r="DA661" s="50"/>
      <c r="DB661" s="50"/>
      <c r="DC661" s="50"/>
      <c r="DD661" s="50"/>
      <c r="DE661" s="50"/>
      <c r="DF661" s="50"/>
      <c r="DG661" s="50"/>
      <c r="DH661" s="50"/>
      <c r="DI661" s="50"/>
      <c r="DJ661" s="50"/>
      <c r="DK661" s="50"/>
      <c r="DL661" s="50"/>
      <c r="DM661" s="50"/>
      <c r="DN661" s="50"/>
      <c r="DO661" s="50"/>
      <c r="DP661" s="50"/>
      <c r="DQ661" s="50"/>
      <c r="DR661" s="50"/>
      <c r="DS661" s="50"/>
      <c r="DT661" s="50"/>
      <c r="DU661" s="50"/>
      <c r="DV661" s="50"/>
      <c r="DW661" s="50"/>
      <c r="DX661" s="50"/>
      <c r="DY661" s="50"/>
      <c r="DZ661" s="50"/>
      <c r="EA661" s="50"/>
      <c r="EB661" s="50"/>
      <c r="EC661" s="50"/>
      <c r="ED661" s="50"/>
      <c r="EE661" s="50"/>
      <c r="EF661" s="50"/>
      <c r="EG661" s="50"/>
      <c r="EH661" s="50"/>
      <c r="EI661" s="50"/>
      <c r="EJ661" s="50"/>
      <c r="EK661" s="50"/>
      <c r="EL661" s="50"/>
      <c r="EM661" s="50"/>
      <c r="EN661" s="50"/>
      <c r="EO661" s="50"/>
      <c r="EP661" s="50"/>
      <c r="EQ661" s="50"/>
      <c r="ER661" s="50"/>
      <c r="ES661" s="50"/>
      <c r="ET661" s="50"/>
      <c r="EU661" s="50"/>
      <c r="EV661" s="50"/>
      <c r="EW661" s="50"/>
      <c r="EX661" s="50"/>
      <c r="EY661" s="50"/>
      <c r="EZ661" s="50"/>
      <c r="FA661" s="50"/>
      <c r="FB661" s="50"/>
      <c r="FC661" s="50"/>
      <c r="FD661" s="50"/>
      <c r="FE661" s="50"/>
      <c r="FF661" s="50"/>
      <c r="FG661" s="50"/>
      <c r="FH661" s="50"/>
      <c r="FI661" s="50"/>
      <c r="FJ661" s="50"/>
      <c r="FK661" s="50"/>
      <c r="FL661" s="50"/>
      <c r="FM661" s="50"/>
      <c r="FN661" s="50"/>
      <c r="FO661" s="50"/>
      <c r="FP661" s="50"/>
      <c r="FQ661" s="50"/>
      <c r="FR661" s="50"/>
      <c r="FS661" s="50"/>
      <c r="FT661" s="50"/>
      <c r="FU661" s="50"/>
    </row>
    <row r="662" spans="1:177" ht="21" customHeight="1" x14ac:dyDescent="0.2">
      <c r="B662" s="457" t="s">
        <v>101</v>
      </c>
      <c r="C662" s="458"/>
      <c r="D662" s="458"/>
      <c r="E662" s="76">
        <v>20</v>
      </c>
      <c r="F662" s="122" t="s">
        <v>881</v>
      </c>
      <c r="G662" s="147"/>
      <c r="H662" s="56" t="str">
        <f t="shared" si="812"/>
        <v>124 AÑOS</v>
      </c>
      <c r="I662" s="57">
        <f>I639+I661</f>
        <v>100337.30273117262</v>
      </c>
      <c r="J662" s="57">
        <f t="shared" ref="J662:AG662" si="849">J639+J661</f>
        <v>0</v>
      </c>
      <c r="K662" s="57">
        <f t="shared" si="849"/>
        <v>0</v>
      </c>
      <c r="L662" s="74">
        <f t="shared" si="849"/>
        <v>0</v>
      </c>
      <c r="M662" s="57">
        <f t="shared" si="849"/>
        <v>8.8000000000000005E-3</v>
      </c>
      <c r="N662" s="57">
        <f t="shared" si="849"/>
        <v>4013.4921092469049</v>
      </c>
      <c r="O662" s="57">
        <f t="shared" si="849"/>
        <v>104350.7948404195</v>
      </c>
      <c r="P662" s="57">
        <f t="shared" si="849"/>
        <v>208701.58968083901</v>
      </c>
      <c r="Q662" s="57">
        <f t="shared" si="849"/>
        <v>156526.19226062921</v>
      </c>
      <c r="R662" s="57">
        <f t="shared" si="849"/>
        <v>52175.397420209752</v>
      </c>
      <c r="S662" s="57">
        <f t="shared" si="849"/>
        <v>6956.7196560279654</v>
      </c>
      <c r="T662" s="57">
        <f t="shared" si="849"/>
        <v>7985.6184931545013</v>
      </c>
      <c r="U662" s="81">
        <f t="shared" si="849"/>
        <v>78263.096130314603</v>
      </c>
      <c r="V662" s="57">
        <f t="shared" si="849"/>
        <v>26087.698710104876</v>
      </c>
      <c r="W662" s="57">
        <f t="shared" si="849"/>
        <v>0.82499999999999996</v>
      </c>
      <c r="X662" s="57">
        <f t="shared" si="849"/>
        <v>7203.4809979254442</v>
      </c>
      <c r="Y662" s="57">
        <f t="shared" si="849"/>
        <v>5549.2943755133001</v>
      </c>
      <c r="Z662" s="57">
        <f t="shared" si="849"/>
        <v>0</v>
      </c>
      <c r="AA662" s="57">
        <f t="shared" si="849"/>
        <v>26087.698710104876</v>
      </c>
      <c r="AB662" s="57">
        <f t="shared" si="849"/>
        <v>5217.5397420209774</v>
      </c>
      <c r="AC662" s="57">
        <f t="shared" si="849"/>
        <v>37643.668655386136</v>
      </c>
      <c r="AD662" s="57">
        <f t="shared" si="849"/>
        <v>19690.975349310938</v>
      </c>
      <c r="AE662" s="57">
        <f t="shared" si="849"/>
        <v>12377.708664389476</v>
      </c>
      <c r="AF662" s="57">
        <f t="shared" si="849"/>
        <v>0</v>
      </c>
      <c r="AG662" s="57">
        <f t="shared" si="849"/>
        <v>7200.204843988944</v>
      </c>
      <c r="AH662" s="92">
        <f>Q662+R662-Y662+Z662+X662+AA662+AB662+AC662+AD662+AE662+AF662+AG662</f>
        <v>318573.5722684525</v>
      </c>
      <c r="AI662" s="92">
        <f>AH662*12</f>
        <v>3822882.8672214299</v>
      </c>
      <c r="AJ662" s="457" t="s">
        <v>101</v>
      </c>
      <c r="AK662" s="458"/>
      <c r="AL662" s="458"/>
      <c r="AM662" s="76">
        <v>20</v>
      </c>
      <c r="AN662" s="122" t="s">
        <v>881</v>
      </c>
      <c r="AO662" s="242">
        <f>AO639+AO661</f>
        <v>1812828.1161755745</v>
      </c>
      <c r="AP662" s="242">
        <f t="shared" ref="AP662:AZ662" si="850">AP639+AP661</f>
        <v>604276.03872519149</v>
      </c>
      <c r="AQ662" s="242">
        <f t="shared" si="850"/>
        <v>84804.61720130594</v>
      </c>
      <c r="AR662" s="242">
        <f t="shared" si="850"/>
        <v>65098.242290584625</v>
      </c>
      <c r="AS662" s="242">
        <f t="shared" si="850"/>
        <v>0</v>
      </c>
      <c r="AT662" s="242">
        <f t="shared" si="850"/>
        <v>302138.01936259575</v>
      </c>
      <c r="AU662" s="242">
        <f t="shared" si="850"/>
        <v>60427.603872519161</v>
      </c>
      <c r="AV662" s="242">
        <f t="shared" si="850"/>
        <v>435538.53857213701</v>
      </c>
      <c r="AW662" s="242">
        <f t="shared" si="850"/>
        <v>228125.22876850062</v>
      </c>
      <c r="AX662" s="242">
        <f t="shared" si="850"/>
        <v>143354.01606954716</v>
      </c>
      <c r="AY662" s="242">
        <f t="shared" si="850"/>
        <v>0</v>
      </c>
      <c r="AZ662" s="242">
        <f t="shared" si="850"/>
        <v>83390.093344076478</v>
      </c>
      <c r="BA662" s="152"/>
      <c r="BB662" s="92">
        <f>AO662+AP662+AQ662-AR662+AS662+AU662+AV662+AT662+AW662+AX662+AY662+AZ662</f>
        <v>3689784.029800863</v>
      </c>
      <c r="BC662" s="95"/>
      <c r="BD662" s="95"/>
      <c r="BE662" s="95"/>
    </row>
    <row r="663" spans="1:177" ht="21" customHeight="1" x14ac:dyDescent="0.2">
      <c r="B663" s="457" t="s">
        <v>103</v>
      </c>
      <c r="C663" s="458"/>
      <c r="D663" s="458"/>
      <c r="E663" s="76">
        <f>E661-E662</f>
        <v>2</v>
      </c>
      <c r="F663" s="76"/>
      <c r="G663" s="484"/>
      <c r="H663" s="479"/>
      <c r="I663" s="479"/>
      <c r="J663" s="479"/>
      <c r="K663" s="479"/>
      <c r="L663" s="479"/>
      <c r="M663" s="479"/>
      <c r="N663" s="479"/>
      <c r="O663" s="479"/>
      <c r="P663" s="479"/>
      <c r="Q663" s="479"/>
      <c r="R663" s="479"/>
      <c r="S663" s="479"/>
      <c r="T663" s="479"/>
      <c r="U663" s="479"/>
      <c r="V663" s="479"/>
      <c r="W663" s="479"/>
      <c r="X663" s="479"/>
      <c r="Y663" s="479"/>
      <c r="Z663" s="479"/>
      <c r="AA663" s="479"/>
      <c r="AB663" s="479"/>
      <c r="AC663" s="479"/>
      <c r="AD663" s="479"/>
      <c r="AE663" s="479"/>
      <c r="AF663" s="479"/>
      <c r="AG663" s="480"/>
      <c r="AH663" s="275"/>
      <c r="AI663" s="275"/>
      <c r="AJ663" s="457" t="s">
        <v>103</v>
      </c>
      <c r="AK663" s="458"/>
      <c r="AL663" s="458"/>
      <c r="AM663" s="76">
        <f>AM661-AM662</f>
        <v>2</v>
      </c>
      <c r="AN663" s="76"/>
      <c r="AO663" s="481"/>
      <c r="AP663" s="482"/>
      <c r="AQ663" s="482"/>
      <c r="AR663" s="482"/>
      <c r="AS663" s="482"/>
      <c r="AT663" s="482"/>
      <c r="AU663" s="482"/>
      <c r="AV663" s="482"/>
      <c r="AW663" s="482"/>
      <c r="AX663" s="482"/>
      <c r="AY663" s="482"/>
      <c r="AZ663" s="483"/>
      <c r="BA663" s="152"/>
      <c r="BB663" s="92"/>
      <c r="BC663" s="95"/>
      <c r="BD663" s="95"/>
      <c r="BE663" s="95"/>
    </row>
    <row r="664" spans="1:177" ht="21" customHeight="1" x14ac:dyDescent="0.2">
      <c r="B664" s="5"/>
      <c r="C664" s="94"/>
      <c r="D664" s="5"/>
      <c r="E664" s="94"/>
      <c r="G664" s="27"/>
      <c r="H664" s="189"/>
      <c r="I664" s="95"/>
      <c r="J664" s="95"/>
      <c r="K664" s="95"/>
      <c r="L664" s="27"/>
      <c r="M664" s="128"/>
      <c r="N664" s="66"/>
      <c r="O664" s="95"/>
      <c r="P664" s="66"/>
      <c r="Q664" s="66"/>
      <c r="R664" s="66"/>
      <c r="S664" s="66"/>
      <c r="T664" s="95"/>
      <c r="U664" s="66"/>
      <c r="V664" s="95"/>
      <c r="W664" s="129"/>
      <c r="X664" s="130"/>
      <c r="Y664" s="66"/>
      <c r="Z664" s="66"/>
      <c r="AA664" s="66"/>
      <c r="AB664" s="66"/>
      <c r="AC664" s="66"/>
      <c r="AD664" s="66"/>
      <c r="AE664" s="66"/>
      <c r="AF664" s="66"/>
      <c r="AG664" s="66"/>
      <c r="AH664" s="64"/>
      <c r="AI664" s="64"/>
      <c r="AJ664" s="5"/>
      <c r="AK664" s="94"/>
      <c r="AL664" s="5"/>
      <c r="AM664" s="94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52"/>
      <c r="BB664" s="92"/>
      <c r="BC664" s="95"/>
      <c r="BD664" s="95"/>
      <c r="BE664" s="95"/>
    </row>
    <row r="665" spans="1:177" ht="21" customHeight="1" x14ac:dyDescent="0.2">
      <c r="B665" s="5"/>
      <c r="C665" s="94"/>
      <c r="D665" s="5"/>
      <c r="E665" s="94"/>
      <c r="G665" s="27"/>
      <c r="H665" s="189"/>
      <c r="I665" s="95"/>
      <c r="J665" s="95"/>
      <c r="K665" s="95"/>
      <c r="L665" s="27"/>
      <c r="M665" s="128"/>
      <c r="N665" s="66"/>
      <c r="O665" s="95"/>
      <c r="P665" s="66"/>
      <c r="Q665" s="66"/>
      <c r="R665" s="66"/>
      <c r="S665" s="66"/>
      <c r="T665" s="95"/>
      <c r="U665" s="66"/>
      <c r="V665" s="95"/>
      <c r="W665" s="129"/>
      <c r="X665" s="130"/>
      <c r="Y665" s="66"/>
      <c r="Z665" s="66"/>
      <c r="AA665" s="66"/>
      <c r="AB665" s="66"/>
      <c r="AC665" s="66"/>
      <c r="AD665" s="66"/>
      <c r="AE665" s="66"/>
      <c r="AF665" s="66"/>
      <c r="AG665" s="66"/>
      <c r="AH665" s="64"/>
      <c r="AI665" s="64"/>
      <c r="AJ665" s="5"/>
      <c r="AK665" s="94"/>
      <c r="AL665" s="5"/>
      <c r="AM665" s="94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2"/>
      <c r="BB665" s="92"/>
      <c r="BC665" s="95"/>
      <c r="BD665" s="95"/>
      <c r="BE665" s="95"/>
    </row>
    <row r="666" spans="1:177" ht="21" customHeight="1" thickBot="1" x14ac:dyDescent="0.25">
      <c r="B666" s="5"/>
      <c r="C666" s="94"/>
      <c r="D666" s="5"/>
      <c r="E666" s="94"/>
      <c r="G666" s="27"/>
      <c r="H666" s="189"/>
      <c r="I666" s="95"/>
      <c r="J666" s="95"/>
      <c r="K666" s="95"/>
      <c r="L666" s="27"/>
      <c r="M666" s="128"/>
      <c r="N666" s="66"/>
      <c r="O666" s="95"/>
      <c r="P666" s="66"/>
      <c r="Q666" s="66"/>
      <c r="R666" s="66"/>
      <c r="S666" s="66"/>
      <c r="T666" s="95"/>
      <c r="U666" s="66"/>
      <c r="V666" s="95"/>
      <c r="W666" s="129"/>
      <c r="X666" s="130"/>
      <c r="Y666" s="66"/>
      <c r="Z666" s="66"/>
      <c r="AA666" s="66"/>
      <c r="AB666" s="66"/>
      <c r="AC666" s="66"/>
      <c r="AD666" s="66"/>
      <c r="AE666" s="66"/>
      <c r="AF666" s="66"/>
      <c r="AG666" s="66"/>
      <c r="AH666" s="64"/>
      <c r="AI666" s="64"/>
      <c r="AJ666" s="5"/>
      <c r="AK666" s="94"/>
      <c r="AL666" s="5"/>
      <c r="AM666" s="94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52"/>
      <c r="BB666" s="92"/>
      <c r="BC666" s="95"/>
      <c r="BD666" s="95"/>
      <c r="BE666" s="95"/>
    </row>
    <row r="667" spans="1:177" s="134" customFormat="1" ht="21" customHeight="1" thickBot="1" x14ac:dyDescent="0.25">
      <c r="A667" s="94"/>
      <c r="B667" s="476" t="s">
        <v>882</v>
      </c>
      <c r="C667" s="477"/>
      <c r="D667" s="477"/>
      <c r="E667" s="478"/>
      <c r="F667" s="466" t="s">
        <v>4</v>
      </c>
      <c r="G667" s="7" t="s">
        <v>5</v>
      </c>
      <c r="H667" s="8" t="s">
        <v>6</v>
      </c>
      <c r="I667" s="9" t="s">
        <v>7</v>
      </c>
      <c r="J667" s="9"/>
      <c r="K667" s="9"/>
      <c r="L667" s="9"/>
      <c r="M667" s="10">
        <v>4.0000000000000002E-4</v>
      </c>
      <c r="N667" s="11" t="s">
        <v>8</v>
      </c>
      <c r="O667" s="12" t="s">
        <v>9</v>
      </c>
      <c r="P667" s="12" t="s">
        <v>10</v>
      </c>
      <c r="Q667" s="13" t="s">
        <v>11</v>
      </c>
      <c r="R667" s="12" t="s">
        <v>12</v>
      </c>
      <c r="S667" s="14" t="s">
        <v>11</v>
      </c>
      <c r="T667" s="15" t="s">
        <v>13</v>
      </c>
      <c r="U667" s="16" t="s">
        <v>11</v>
      </c>
      <c r="V667" s="17" t="s">
        <v>12</v>
      </c>
      <c r="W667" s="18" t="s">
        <v>14</v>
      </c>
      <c r="X667" s="19" t="s">
        <v>15</v>
      </c>
      <c r="Y667" s="15" t="s">
        <v>16</v>
      </c>
      <c r="Z667" s="13" t="s">
        <v>17</v>
      </c>
      <c r="AA667" s="20" t="s">
        <v>18</v>
      </c>
      <c r="AB667" s="17" t="s">
        <v>19</v>
      </c>
      <c r="AC667" s="13" t="s">
        <v>20</v>
      </c>
      <c r="AD667" s="13" t="s">
        <v>21</v>
      </c>
      <c r="AE667" s="13" t="s">
        <v>22</v>
      </c>
      <c r="AF667" s="17" t="s">
        <v>23</v>
      </c>
      <c r="AG667" s="12" t="s">
        <v>24</v>
      </c>
      <c r="AH667" s="132"/>
      <c r="AI667" s="132"/>
      <c r="AJ667" s="476" t="s">
        <v>882</v>
      </c>
      <c r="AK667" s="477"/>
      <c r="AL667" s="477"/>
      <c r="AM667" s="478"/>
      <c r="AN667" s="466" t="s">
        <v>4</v>
      </c>
      <c r="AO667" s="22" t="s">
        <v>11</v>
      </c>
      <c r="AP667" s="12" t="s">
        <v>12</v>
      </c>
      <c r="AQ667" s="23" t="s">
        <v>15</v>
      </c>
      <c r="AR667" s="22" t="s">
        <v>16</v>
      </c>
      <c r="AS667" s="22" t="s">
        <v>25</v>
      </c>
      <c r="AT667" s="20" t="s">
        <v>26</v>
      </c>
      <c r="AU667" s="24" t="s">
        <v>27</v>
      </c>
      <c r="AV667" s="23" t="s">
        <v>20</v>
      </c>
      <c r="AW667" s="22" t="s">
        <v>28</v>
      </c>
      <c r="AX667" s="22" t="s">
        <v>29</v>
      </c>
      <c r="AY667" s="276" t="s">
        <v>23</v>
      </c>
      <c r="AZ667" s="24" t="s">
        <v>24</v>
      </c>
      <c r="BA667" s="94"/>
      <c r="BB667" s="92"/>
      <c r="BC667" s="95"/>
      <c r="BD667" s="95"/>
      <c r="BE667" s="95"/>
      <c r="BF667" s="94"/>
      <c r="BG667" s="94"/>
      <c r="BH667" s="94"/>
      <c r="BI667" s="94"/>
      <c r="BJ667" s="94"/>
      <c r="BK667" s="94"/>
      <c r="BL667" s="94"/>
      <c r="BM667" s="94"/>
      <c r="BN667" s="94"/>
      <c r="BO667" s="94"/>
      <c r="BP667" s="94"/>
      <c r="BQ667" s="94"/>
      <c r="BR667" s="94"/>
      <c r="BS667" s="94"/>
      <c r="BT667" s="94"/>
      <c r="BU667" s="94"/>
      <c r="BV667" s="94"/>
      <c r="BW667" s="94"/>
      <c r="BX667" s="94"/>
      <c r="BY667" s="94"/>
      <c r="BZ667" s="94"/>
      <c r="CA667" s="94"/>
      <c r="CB667" s="94"/>
      <c r="CC667" s="94"/>
      <c r="CD667" s="94"/>
      <c r="CE667" s="94"/>
      <c r="CF667" s="94"/>
      <c r="CG667" s="94"/>
      <c r="CH667" s="94"/>
      <c r="CI667" s="94"/>
      <c r="CJ667" s="94"/>
      <c r="CK667" s="94"/>
      <c r="CL667" s="94"/>
      <c r="CM667" s="94"/>
      <c r="CN667" s="94"/>
      <c r="CO667" s="94"/>
      <c r="CP667" s="94"/>
      <c r="CQ667" s="94"/>
      <c r="CR667" s="94"/>
      <c r="CS667" s="94"/>
      <c r="CT667" s="94"/>
      <c r="CU667" s="94"/>
      <c r="CV667" s="94"/>
      <c r="CW667" s="94"/>
      <c r="CX667" s="94"/>
      <c r="CY667" s="94"/>
      <c r="CZ667" s="94"/>
      <c r="DA667" s="94"/>
      <c r="DB667" s="94"/>
      <c r="DC667" s="94"/>
      <c r="DD667" s="94"/>
      <c r="DE667" s="94"/>
      <c r="DF667" s="94"/>
      <c r="DG667" s="94"/>
      <c r="DH667" s="94"/>
      <c r="DI667" s="94"/>
      <c r="DJ667" s="94"/>
      <c r="DK667" s="94"/>
      <c r="DL667" s="94"/>
      <c r="DM667" s="94"/>
      <c r="DN667" s="94"/>
      <c r="DO667" s="94"/>
      <c r="DP667" s="94"/>
      <c r="DQ667" s="94"/>
      <c r="DR667" s="94"/>
      <c r="DS667" s="94"/>
      <c r="DT667" s="94"/>
      <c r="DU667" s="94"/>
      <c r="DV667" s="94"/>
      <c r="DW667" s="94"/>
      <c r="DX667" s="94"/>
      <c r="DY667" s="94"/>
      <c r="DZ667" s="94"/>
      <c r="EA667" s="94"/>
      <c r="EB667" s="94"/>
      <c r="EC667" s="94"/>
      <c r="ED667" s="94"/>
      <c r="EE667" s="94"/>
      <c r="EF667" s="94"/>
      <c r="EG667" s="94"/>
      <c r="EH667" s="94"/>
      <c r="EI667" s="94"/>
      <c r="EJ667" s="94"/>
      <c r="EK667" s="94"/>
      <c r="EL667" s="94"/>
      <c r="EM667" s="94"/>
      <c r="EN667" s="94"/>
      <c r="EO667" s="94"/>
      <c r="EP667" s="94"/>
      <c r="EQ667" s="94"/>
      <c r="ER667" s="94"/>
      <c r="ES667" s="94"/>
      <c r="ET667" s="94"/>
      <c r="EU667" s="94"/>
      <c r="EV667" s="94"/>
      <c r="EW667" s="94"/>
      <c r="EX667" s="94"/>
      <c r="EY667" s="94"/>
      <c r="EZ667" s="94"/>
      <c r="FA667" s="94"/>
      <c r="FB667" s="94"/>
      <c r="FC667" s="94"/>
      <c r="FD667" s="94"/>
      <c r="FE667" s="94"/>
      <c r="FF667" s="94"/>
      <c r="FG667" s="94"/>
      <c r="FH667" s="94"/>
      <c r="FI667" s="94"/>
      <c r="FJ667" s="94"/>
      <c r="FK667" s="94"/>
      <c r="FL667" s="94"/>
      <c r="FM667" s="94"/>
      <c r="FN667" s="94"/>
      <c r="FO667" s="94"/>
      <c r="FP667" s="94"/>
      <c r="FQ667" s="94"/>
      <c r="FR667" s="94"/>
      <c r="FS667" s="94"/>
      <c r="FT667" s="94"/>
      <c r="FU667" s="94"/>
    </row>
    <row r="668" spans="1:177" s="134" customFormat="1" ht="21" customHeight="1" thickBot="1" x14ac:dyDescent="0.25">
      <c r="A668" s="94"/>
      <c r="B668" s="30" t="s">
        <v>30</v>
      </c>
      <c r="C668" s="6" t="s">
        <v>31</v>
      </c>
      <c r="D668" s="30" t="s">
        <v>105</v>
      </c>
      <c r="E668" s="32" t="s">
        <v>32</v>
      </c>
      <c r="F668" s="467"/>
      <c r="G668" s="33" t="s">
        <v>33</v>
      </c>
      <c r="H668" s="34">
        <v>45657</v>
      </c>
      <c r="I668" s="35">
        <v>2023</v>
      </c>
      <c r="J668" s="35"/>
      <c r="K668" s="35"/>
      <c r="L668" s="35"/>
      <c r="M668" s="36"/>
      <c r="N668" s="37"/>
      <c r="O668" s="38">
        <v>2024</v>
      </c>
      <c r="P668" s="39" t="s">
        <v>34</v>
      </c>
      <c r="Q668" s="40" t="s">
        <v>35</v>
      </c>
      <c r="R668" s="39" t="s">
        <v>36</v>
      </c>
      <c r="S668" s="41" t="s">
        <v>37</v>
      </c>
      <c r="T668" s="42" t="s">
        <v>38</v>
      </c>
      <c r="U668" s="43" t="s">
        <v>39</v>
      </c>
      <c r="V668" s="41" t="s">
        <v>39</v>
      </c>
      <c r="W668" s="44" t="s">
        <v>15</v>
      </c>
      <c r="X668" s="45" t="s">
        <v>35</v>
      </c>
      <c r="Y668" s="42" t="s">
        <v>35</v>
      </c>
      <c r="Z668" s="40" t="s">
        <v>35</v>
      </c>
      <c r="AA668" s="46" t="s">
        <v>35</v>
      </c>
      <c r="AB668" s="41" t="s">
        <v>35</v>
      </c>
      <c r="AC668" s="40" t="s">
        <v>35</v>
      </c>
      <c r="AD668" s="40" t="s">
        <v>35</v>
      </c>
      <c r="AE668" s="40" t="s">
        <v>35</v>
      </c>
      <c r="AF668" s="41" t="s">
        <v>35</v>
      </c>
      <c r="AG668" s="40" t="s">
        <v>35</v>
      </c>
      <c r="AH668" s="135"/>
      <c r="AI668" s="135"/>
      <c r="AJ668" s="30" t="s">
        <v>30</v>
      </c>
      <c r="AK668" s="6" t="s">
        <v>31</v>
      </c>
      <c r="AL668" s="30" t="s">
        <v>105</v>
      </c>
      <c r="AM668" s="32" t="s">
        <v>32</v>
      </c>
      <c r="AN668" s="467"/>
      <c r="AO668" s="40" t="s">
        <v>40</v>
      </c>
      <c r="AP668" s="39" t="s">
        <v>41</v>
      </c>
      <c r="AQ668" s="48" t="s">
        <v>40</v>
      </c>
      <c r="AR668" s="49" t="s">
        <v>40</v>
      </c>
      <c r="AS668" s="49" t="s">
        <v>40</v>
      </c>
      <c r="AT668" s="46" t="s">
        <v>40</v>
      </c>
      <c r="AU668" s="49" t="s">
        <v>40</v>
      </c>
      <c r="AV668" s="48" t="s">
        <v>40</v>
      </c>
      <c r="AW668" s="49" t="s">
        <v>40</v>
      </c>
      <c r="AX668" s="49" t="s">
        <v>40</v>
      </c>
      <c r="AY668" s="277" t="s">
        <v>40</v>
      </c>
      <c r="AZ668" s="49" t="s">
        <v>40</v>
      </c>
      <c r="BA668" s="94"/>
      <c r="BB668" s="92"/>
      <c r="BC668" s="95"/>
      <c r="BD668" s="95"/>
      <c r="BE668" s="95"/>
      <c r="BF668" s="94"/>
      <c r="BG668" s="94"/>
      <c r="BH668" s="94"/>
      <c r="BI668" s="94"/>
      <c r="BJ668" s="94"/>
      <c r="BK668" s="94"/>
      <c r="BL668" s="94"/>
      <c r="BM668" s="94"/>
      <c r="BN668" s="94"/>
      <c r="BO668" s="94"/>
      <c r="BP668" s="94"/>
      <c r="BQ668" s="94"/>
      <c r="BR668" s="94"/>
      <c r="BS668" s="94"/>
      <c r="BT668" s="94"/>
      <c r="BU668" s="94"/>
      <c r="BV668" s="94"/>
      <c r="BW668" s="94"/>
      <c r="BX668" s="94"/>
      <c r="BY668" s="94"/>
      <c r="BZ668" s="94"/>
      <c r="CA668" s="94"/>
      <c r="CB668" s="94"/>
      <c r="CC668" s="94"/>
      <c r="CD668" s="94"/>
      <c r="CE668" s="94"/>
      <c r="CF668" s="94"/>
      <c r="CG668" s="94"/>
      <c r="CH668" s="94"/>
      <c r="CI668" s="94"/>
      <c r="CJ668" s="94"/>
      <c r="CK668" s="94"/>
      <c r="CL668" s="94"/>
      <c r="CM668" s="94"/>
      <c r="CN668" s="94"/>
      <c r="CO668" s="94"/>
      <c r="CP668" s="94"/>
      <c r="CQ668" s="94"/>
      <c r="CR668" s="94"/>
      <c r="CS668" s="94"/>
      <c r="CT668" s="94"/>
      <c r="CU668" s="94"/>
      <c r="CV668" s="94"/>
      <c r="CW668" s="94"/>
      <c r="CX668" s="94"/>
      <c r="CY668" s="94"/>
      <c r="CZ668" s="94"/>
      <c r="DA668" s="94"/>
      <c r="DB668" s="94"/>
      <c r="DC668" s="94"/>
      <c r="DD668" s="94"/>
      <c r="DE668" s="94"/>
      <c r="DF668" s="94"/>
      <c r="DG668" s="94"/>
      <c r="DH668" s="94"/>
      <c r="DI668" s="94"/>
      <c r="DJ668" s="94"/>
      <c r="DK668" s="94"/>
      <c r="DL668" s="94"/>
      <c r="DM668" s="94"/>
      <c r="DN668" s="94"/>
      <c r="DO668" s="94"/>
      <c r="DP668" s="94"/>
      <c r="DQ668" s="94"/>
      <c r="DR668" s="94"/>
      <c r="DS668" s="94"/>
      <c r="DT668" s="94"/>
      <c r="DU668" s="94"/>
      <c r="DV668" s="94"/>
      <c r="DW668" s="94"/>
      <c r="DX668" s="94"/>
      <c r="DY668" s="94"/>
      <c r="DZ668" s="94"/>
      <c r="EA668" s="94"/>
      <c r="EB668" s="94"/>
      <c r="EC668" s="94"/>
      <c r="ED668" s="94"/>
      <c r="EE668" s="94"/>
      <c r="EF668" s="94"/>
      <c r="EG668" s="94"/>
      <c r="EH668" s="94"/>
      <c r="EI668" s="94"/>
      <c r="EJ668" s="94"/>
      <c r="EK668" s="94"/>
      <c r="EL668" s="94"/>
      <c r="EM668" s="94"/>
      <c r="EN668" s="94"/>
      <c r="EO668" s="94"/>
      <c r="EP668" s="94"/>
      <c r="EQ668" s="94"/>
      <c r="ER668" s="94"/>
      <c r="ES668" s="94"/>
      <c r="ET668" s="94"/>
      <c r="EU668" s="94"/>
      <c r="EV668" s="94"/>
      <c r="EW668" s="94"/>
      <c r="EX668" s="94"/>
      <c r="EY668" s="94"/>
      <c r="EZ668" s="94"/>
      <c r="FA668" s="94"/>
      <c r="FB668" s="94"/>
      <c r="FC668" s="94"/>
      <c r="FD668" s="94"/>
      <c r="FE668" s="94"/>
      <c r="FF668" s="94"/>
      <c r="FG668" s="94"/>
      <c r="FH668" s="94"/>
      <c r="FI668" s="94"/>
      <c r="FJ668" s="94"/>
      <c r="FK668" s="94"/>
      <c r="FL668" s="94"/>
      <c r="FM668" s="94"/>
      <c r="FN668" s="94"/>
      <c r="FO668" s="94"/>
      <c r="FP668" s="94"/>
      <c r="FQ668" s="94"/>
      <c r="FR668" s="94"/>
      <c r="FS668" s="94"/>
      <c r="FT668" s="94"/>
      <c r="FU668" s="94"/>
    </row>
    <row r="669" spans="1:177" ht="21" customHeight="1" x14ac:dyDescent="0.2">
      <c r="B669" s="51">
        <v>1</v>
      </c>
      <c r="C669" s="77" t="s">
        <v>42</v>
      </c>
      <c r="D669" s="51">
        <v>16280</v>
      </c>
      <c r="E669" s="84" t="s">
        <v>883</v>
      </c>
      <c r="F669" s="53" t="s">
        <v>884</v>
      </c>
      <c r="G669" s="55">
        <v>39525</v>
      </c>
      <c r="H669" s="56" t="str">
        <f t="shared" si="812"/>
        <v>16 AÑOS</v>
      </c>
      <c r="I669" s="57">
        <v>18084.359946088796</v>
      </c>
      <c r="J669" s="58"/>
      <c r="K669" s="58"/>
      <c r="L669" s="59"/>
      <c r="M669" s="60">
        <v>4.0000000000000002E-4</v>
      </c>
      <c r="N669" s="61">
        <f t="shared" ref="N669:N733" si="851">I669*0.04</f>
        <v>723.37439784355183</v>
      </c>
      <c r="O669" s="58">
        <f t="shared" ref="O669:O733" si="852">I669+N669</f>
        <v>18807.734343932349</v>
      </c>
      <c r="P669" s="61">
        <f t="shared" si="802"/>
        <v>37615.468687864697</v>
      </c>
      <c r="Q669" s="61">
        <f t="shared" si="803"/>
        <v>28211.601515898525</v>
      </c>
      <c r="R669" s="61">
        <f t="shared" si="804"/>
        <v>9403.8671719661743</v>
      </c>
      <c r="S669" s="61">
        <f t="shared" si="805"/>
        <v>1253.8489562621567</v>
      </c>
      <c r="T669" s="58">
        <f t="shared" si="806"/>
        <v>1439.2932168933296</v>
      </c>
      <c r="U669" s="61">
        <f t="shared" si="807"/>
        <v>14105.800757949262</v>
      </c>
      <c r="V669" s="58">
        <f t="shared" si="808"/>
        <v>4701.9335859830871</v>
      </c>
      <c r="W669" s="62">
        <v>0</v>
      </c>
      <c r="X669" s="63">
        <f t="shared" ref="X669:X733" si="853">P669*W669</f>
        <v>0</v>
      </c>
      <c r="Y669" s="61">
        <v>4379.8741317959248</v>
      </c>
      <c r="Z669" s="61">
        <v>0</v>
      </c>
      <c r="AA669" s="61">
        <f t="shared" ref="AA669:AA733" si="854">(S669*45)/12</f>
        <v>4701.9335859830871</v>
      </c>
      <c r="AB669" s="61">
        <f t="shared" ref="AB669:AB733" si="855">(S669*10)*(0.45*2)/12</f>
        <v>940.3867171966175</v>
      </c>
      <c r="AC669" s="61">
        <v>5158.6226642172423</v>
      </c>
      <c r="AD669" s="61">
        <v>3772.4594861382616</v>
      </c>
      <c r="AE669" s="61">
        <v>2230.904486184661</v>
      </c>
      <c r="AF669" s="61">
        <v>0</v>
      </c>
      <c r="AG669" s="61">
        <f t="shared" ref="AG669:AG733" si="856">(P669+AA669+AB669)*0.03</f>
        <v>1297.7336697313322</v>
      </c>
      <c r="AH669" s="64"/>
      <c r="AI669" s="64"/>
      <c r="AJ669" s="51">
        <v>1</v>
      </c>
      <c r="AK669" s="77" t="s">
        <v>42</v>
      </c>
      <c r="AL669" s="51">
        <v>16280</v>
      </c>
      <c r="AM669" s="84" t="s">
        <v>883</v>
      </c>
      <c r="AN669" s="53" t="s">
        <v>884</v>
      </c>
      <c r="AO669" s="65">
        <f>Q669*12</f>
        <v>338539.2181907823</v>
      </c>
      <c r="AP669" s="65">
        <f>R669*12</f>
        <v>112846.4060635941</v>
      </c>
      <c r="AQ669" s="65">
        <f t="shared" ref="AQ669:AZ670" si="857">X669*12</f>
        <v>0</v>
      </c>
      <c r="AR669" s="65">
        <f t="shared" si="857"/>
        <v>52558.489581551097</v>
      </c>
      <c r="AS669" s="65">
        <f t="shared" si="857"/>
        <v>0</v>
      </c>
      <c r="AT669" s="65">
        <f t="shared" si="857"/>
        <v>56423.203031797049</v>
      </c>
      <c r="AU669" s="65">
        <f t="shared" si="857"/>
        <v>11284.64060635941</v>
      </c>
      <c r="AV669" s="65">
        <f t="shared" si="857"/>
        <v>61903.471970606908</v>
      </c>
      <c r="AW669" s="65">
        <f t="shared" si="857"/>
        <v>45269.513833659141</v>
      </c>
      <c r="AX669" s="65">
        <f t="shared" si="857"/>
        <v>26770.85383421593</v>
      </c>
      <c r="AY669" s="65">
        <f t="shared" si="857"/>
        <v>0</v>
      </c>
      <c r="AZ669" s="65">
        <f t="shared" si="857"/>
        <v>15572.804036775986</v>
      </c>
      <c r="BB669" s="64"/>
      <c r="BC669" s="66"/>
      <c r="BD669" s="66"/>
      <c r="BE669" s="66"/>
    </row>
    <row r="670" spans="1:177" ht="21" customHeight="1" x14ac:dyDescent="0.2">
      <c r="B670" s="51">
        <v>2</v>
      </c>
      <c r="C670" s="73" t="s">
        <v>42</v>
      </c>
      <c r="D670" s="67">
        <v>16354</v>
      </c>
      <c r="E670" s="72" t="s">
        <v>885</v>
      </c>
      <c r="F670" s="72" t="s">
        <v>886</v>
      </c>
      <c r="G670" s="189">
        <v>43085</v>
      </c>
      <c r="H670" s="56" t="str">
        <f t="shared" si="812"/>
        <v>7 AÑOS</v>
      </c>
      <c r="I670" s="57">
        <v>15673.076626587748</v>
      </c>
      <c r="J670" s="58"/>
      <c r="K670" s="58"/>
      <c r="L670" s="59"/>
      <c r="M670" s="60">
        <v>4.0000000000000002E-4</v>
      </c>
      <c r="N670" s="61">
        <f t="shared" si="851"/>
        <v>626.92306506350997</v>
      </c>
      <c r="O670" s="58">
        <f t="shared" si="852"/>
        <v>16299.999691651257</v>
      </c>
      <c r="P670" s="61">
        <f t="shared" si="802"/>
        <v>32599.999383302515</v>
      </c>
      <c r="Q670" s="61">
        <f t="shared" si="803"/>
        <v>24449.999537476884</v>
      </c>
      <c r="R670" s="61">
        <f t="shared" si="804"/>
        <v>8149.9998458256287</v>
      </c>
      <c r="S670" s="61">
        <f t="shared" si="805"/>
        <v>1086.6666461100838</v>
      </c>
      <c r="T670" s="58">
        <f t="shared" si="806"/>
        <v>1247.3846430697652</v>
      </c>
      <c r="U670" s="61">
        <f t="shared" si="807"/>
        <v>12224.999768738442</v>
      </c>
      <c r="V670" s="58">
        <f t="shared" si="808"/>
        <v>4074.9999229128143</v>
      </c>
      <c r="W670" s="62">
        <v>0</v>
      </c>
      <c r="X670" s="63">
        <f t="shared" si="853"/>
        <v>0</v>
      </c>
      <c r="Y670" s="61">
        <v>3576.3959492050626</v>
      </c>
      <c r="Z670" s="61">
        <v>0</v>
      </c>
      <c r="AA670" s="61">
        <f t="shared" si="854"/>
        <v>4074.9999229128139</v>
      </c>
      <c r="AB670" s="61">
        <f t="shared" si="855"/>
        <v>814.99998458256289</v>
      </c>
      <c r="AC670" s="61">
        <v>4543.9173752018041</v>
      </c>
      <c r="AD670" s="61">
        <v>3269.457518718008</v>
      </c>
      <c r="AE670" s="61">
        <v>1933.446196758136</v>
      </c>
      <c r="AF670" s="61">
        <v>0</v>
      </c>
      <c r="AG670" s="61">
        <f t="shared" si="856"/>
        <v>1124.6999787239367</v>
      </c>
      <c r="AH670" s="64"/>
      <c r="AI670" s="64"/>
      <c r="AJ670" s="51">
        <v>2</v>
      </c>
      <c r="AK670" s="73" t="s">
        <v>42</v>
      </c>
      <c r="AL670" s="67">
        <v>16354</v>
      </c>
      <c r="AM670" s="72" t="s">
        <v>885</v>
      </c>
      <c r="AN670" s="72" t="s">
        <v>886</v>
      </c>
      <c r="AO670" s="65">
        <f>Q670*12</f>
        <v>293399.99444972258</v>
      </c>
      <c r="AP670" s="65">
        <f>R670*12</f>
        <v>97799.998149907537</v>
      </c>
      <c r="AQ670" s="65">
        <f t="shared" si="857"/>
        <v>0</v>
      </c>
      <c r="AR670" s="65">
        <f t="shared" si="857"/>
        <v>42916.751390460748</v>
      </c>
      <c r="AS670" s="65">
        <f t="shared" si="857"/>
        <v>0</v>
      </c>
      <c r="AT670" s="65">
        <f t="shared" si="857"/>
        <v>48899.999074953768</v>
      </c>
      <c r="AU670" s="65">
        <f t="shared" si="857"/>
        <v>9779.9998149907551</v>
      </c>
      <c r="AV670" s="65">
        <f t="shared" si="857"/>
        <v>54527.008502421653</v>
      </c>
      <c r="AW670" s="65">
        <f t="shared" si="857"/>
        <v>39233.490224616093</v>
      </c>
      <c r="AX670" s="65">
        <f t="shared" si="857"/>
        <v>23201.354361097634</v>
      </c>
      <c r="AY670" s="65">
        <f t="shared" si="857"/>
        <v>0</v>
      </c>
      <c r="AZ670" s="65">
        <f t="shared" si="857"/>
        <v>13496.399744687242</v>
      </c>
      <c r="BB670" s="64"/>
      <c r="BC670" s="66"/>
      <c r="BD670" s="66"/>
      <c r="BE670" s="66"/>
    </row>
    <row r="671" spans="1:177" s="364" customFormat="1" ht="21" customHeight="1" x14ac:dyDescent="0.2">
      <c r="B671" s="369">
        <v>3</v>
      </c>
      <c r="C671" s="366" t="s">
        <v>42</v>
      </c>
      <c r="D671" s="369">
        <v>17157</v>
      </c>
      <c r="E671" s="370" t="s">
        <v>887</v>
      </c>
      <c r="F671" s="376" t="s">
        <v>888</v>
      </c>
      <c r="G671" s="362">
        <v>43608</v>
      </c>
      <c r="H671" s="56" t="str">
        <f xml:space="preserve"> CONCATENATE(DATEDIF(G671,H$5,"Y")," AÑOS")</f>
        <v>5 AÑOS</v>
      </c>
      <c r="I671" s="57">
        <v>12791.955793909539</v>
      </c>
      <c r="J671" s="58"/>
      <c r="K671" s="58"/>
      <c r="L671" s="59"/>
      <c r="M671" s="60">
        <v>4.0000000000000002E-4</v>
      </c>
      <c r="N671" s="61">
        <f>I671*0.04</f>
        <v>511.67823175638159</v>
      </c>
      <c r="O671" s="58">
        <f>I671+N671</f>
        <v>13303.63402566592</v>
      </c>
      <c r="P671" s="61">
        <f>O671*2</f>
        <v>26607.268051331841</v>
      </c>
      <c r="Q671" s="61">
        <f>P671*0.75</f>
        <v>19955.451038498883</v>
      </c>
      <c r="R671" s="61">
        <f>P671*0.25</f>
        <v>6651.8170128329602</v>
      </c>
      <c r="S671" s="61">
        <f>(P671/30)</f>
        <v>886.90893504439475</v>
      </c>
      <c r="T671" s="58">
        <f>S671*1.1479</f>
        <v>1018.0827665374607</v>
      </c>
      <c r="U671" s="61">
        <f>O671*0.75</f>
        <v>9977.7255192494413</v>
      </c>
      <c r="V671" s="58">
        <f>O671*0.25</f>
        <v>3325.9085064164801</v>
      </c>
      <c r="W671" s="62">
        <v>0</v>
      </c>
      <c r="X671" s="63">
        <f>P671*W671</f>
        <v>0</v>
      </c>
      <c r="Y671" s="61">
        <v>2616.3603898233614</v>
      </c>
      <c r="Z671" s="61">
        <v>0</v>
      </c>
      <c r="AA671" s="61">
        <f>(S671*45)/12</f>
        <v>3325.9085064164806</v>
      </c>
      <c r="AB671" s="61">
        <f>(S671*10)*(0.45*2)/12</f>
        <v>665.18170128329609</v>
      </c>
      <c r="AC671" s="61">
        <v>3809.4370261624681</v>
      </c>
      <c r="AD671" s="61">
        <v>2668.4458352330112</v>
      </c>
      <c r="AE671" s="61">
        <v>1578.0282881330641</v>
      </c>
      <c r="AF671" s="61">
        <v>0</v>
      </c>
      <c r="AG671" s="61">
        <f>(P671+AA671+AB671)*0.03</f>
        <v>917.9507477709484</v>
      </c>
      <c r="AH671" s="64"/>
      <c r="AI671" s="64"/>
      <c r="AJ671" s="369">
        <v>3</v>
      </c>
      <c r="AK671" s="366" t="s">
        <v>42</v>
      </c>
      <c r="AL671" s="369">
        <v>17157</v>
      </c>
      <c r="AM671" s="370" t="s">
        <v>887</v>
      </c>
      <c r="AN671" s="376" t="s">
        <v>888</v>
      </c>
      <c r="AO671" s="368">
        <f t="shared" ref="AO671:AP671" si="858">Q671*3</f>
        <v>59866.353115496648</v>
      </c>
      <c r="AP671" s="368">
        <f t="shared" si="858"/>
        <v>19955.451038498883</v>
      </c>
      <c r="AQ671" s="368">
        <f t="shared" ref="AQ671:AZ671" si="859">X671*3</f>
        <v>0</v>
      </c>
      <c r="AR671" s="368">
        <f t="shared" si="859"/>
        <v>7849.0811694700842</v>
      </c>
      <c r="AS671" s="368">
        <f t="shared" si="859"/>
        <v>0</v>
      </c>
      <c r="AT671" s="368">
        <f t="shared" si="859"/>
        <v>9977.7255192494413</v>
      </c>
      <c r="AU671" s="368">
        <f t="shared" si="859"/>
        <v>1995.5451038498882</v>
      </c>
      <c r="AV671" s="368">
        <f t="shared" si="859"/>
        <v>11428.311078487404</v>
      </c>
      <c r="AW671" s="368">
        <f t="shared" si="859"/>
        <v>8005.3375056990335</v>
      </c>
      <c r="AX671" s="368">
        <f t="shared" si="859"/>
        <v>4734.0848643991922</v>
      </c>
      <c r="AY671" s="368">
        <f t="shared" si="859"/>
        <v>0</v>
      </c>
      <c r="AZ671" s="368">
        <f t="shared" si="859"/>
        <v>2753.8522433128451</v>
      </c>
      <c r="BB671" s="64"/>
      <c r="BC671" s="66"/>
      <c r="BD671" s="66"/>
      <c r="BE671" s="66"/>
    </row>
    <row r="672" spans="1:177" s="364" customFormat="1" ht="21" customHeight="1" x14ac:dyDescent="0.2">
      <c r="B672" s="369">
        <v>4</v>
      </c>
      <c r="C672" s="372" t="s">
        <v>42</v>
      </c>
      <c r="D672" s="365">
        <v>16022</v>
      </c>
      <c r="E672" s="371" t="s">
        <v>889</v>
      </c>
      <c r="F672" s="371" t="s">
        <v>890</v>
      </c>
      <c r="G672" s="55">
        <v>36259</v>
      </c>
      <c r="H672" s="56" t="str">
        <f t="shared" si="812"/>
        <v>25 AÑOS</v>
      </c>
      <c r="I672" s="57">
        <v>13060.936503441904</v>
      </c>
      <c r="J672" s="58"/>
      <c r="K672" s="58"/>
      <c r="L672" s="59"/>
      <c r="M672" s="60">
        <v>4.0000000000000002E-4</v>
      </c>
      <c r="N672" s="61">
        <f t="shared" si="851"/>
        <v>522.43746013767623</v>
      </c>
      <c r="O672" s="58">
        <f t="shared" si="852"/>
        <v>13583.373963579581</v>
      </c>
      <c r="P672" s="61">
        <f t="shared" si="802"/>
        <v>27166.747927159162</v>
      </c>
      <c r="Q672" s="61">
        <f t="shared" si="803"/>
        <v>20375.060945369372</v>
      </c>
      <c r="R672" s="61">
        <f t="shared" si="804"/>
        <v>6791.6869817897905</v>
      </c>
      <c r="S672" s="61">
        <f t="shared" si="805"/>
        <v>905.55826423863869</v>
      </c>
      <c r="T672" s="58">
        <f t="shared" si="806"/>
        <v>1039.4903315195334</v>
      </c>
      <c r="U672" s="61">
        <f t="shared" si="807"/>
        <v>10187.530472684686</v>
      </c>
      <c r="V672" s="58">
        <f t="shared" si="808"/>
        <v>3395.8434908948952</v>
      </c>
      <c r="W672" s="62">
        <v>0</v>
      </c>
      <c r="X672" s="63">
        <f t="shared" si="853"/>
        <v>0</v>
      </c>
      <c r="Y672" s="61">
        <v>2705.9890659308981</v>
      </c>
      <c r="Z672" s="61">
        <v>0</v>
      </c>
      <c r="AA672" s="61">
        <f t="shared" si="854"/>
        <v>3395.8434908948948</v>
      </c>
      <c r="AB672" s="61">
        <f t="shared" si="855"/>
        <v>679.16869817897907</v>
      </c>
      <c r="AC672" s="61">
        <v>3878.0079250922895</v>
      </c>
      <c r="AD672" s="61">
        <v>2724.5561334292729</v>
      </c>
      <c r="AE672" s="61">
        <v>1611.2100138552769</v>
      </c>
      <c r="AF672" s="61">
        <v>0</v>
      </c>
      <c r="AG672" s="61">
        <f t="shared" si="856"/>
        <v>937.25280348699107</v>
      </c>
      <c r="AH672" s="64"/>
      <c r="AI672" s="64"/>
      <c r="AJ672" s="369">
        <v>4</v>
      </c>
      <c r="AK672" s="372" t="s">
        <v>42</v>
      </c>
      <c r="AL672" s="365">
        <v>16022</v>
      </c>
      <c r="AM672" s="371" t="s">
        <v>889</v>
      </c>
      <c r="AN672" s="371" t="s">
        <v>890</v>
      </c>
      <c r="AO672" s="368">
        <f>Q672*12</f>
        <v>244500.73134443245</v>
      </c>
      <c r="AP672" s="368">
        <f>R672*12</f>
        <v>81500.243781477489</v>
      </c>
      <c r="AQ672" s="368">
        <f t="shared" ref="AQ672:AZ673" si="860">X672*12</f>
        <v>0</v>
      </c>
      <c r="AR672" s="368">
        <f t="shared" si="860"/>
        <v>32471.868791170775</v>
      </c>
      <c r="AS672" s="368">
        <f t="shared" si="860"/>
        <v>0</v>
      </c>
      <c r="AT672" s="368">
        <f t="shared" si="860"/>
        <v>40750.121890738737</v>
      </c>
      <c r="AU672" s="368">
        <f t="shared" si="860"/>
        <v>8150.0243781477493</v>
      </c>
      <c r="AV672" s="368">
        <f t="shared" si="860"/>
        <v>46536.095101107472</v>
      </c>
      <c r="AW672" s="368">
        <f t="shared" si="860"/>
        <v>32694.673601151277</v>
      </c>
      <c r="AX672" s="368">
        <f t="shared" si="860"/>
        <v>19334.520166263323</v>
      </c>
      <c r="AY672" s="368">
        <f t="shared" si="860"/>
        <v>0</v>
      </c>
      <c r="AZ672" s="368">
        <f t="shared" si="860"/>
        <v>11247.033641843893</v>
      </c>
      <c r="BB672" s="64"/>
      <c r="BC672" s="66"/>
      <c r="BD672" s="66"/>
      <c r="BE672" s="66"/>
    </row>
    <row r="673" spans="2:57" s="364" customFormat="1" ht="21" customHeight="1" x14ac:dyDescent="0.2">
      <c r="B673" s="369">
        <v>5</v>
      </c>
      <c r="C673" s="372" t="s">
        <v>42</v>
      </c>
      <c r="D673" s="396">
        <v>16443</v>
      </c>
      <c r="E673" s="440" t="s">
        <v>891</v>
      </c>
      <c r="F673" s="371" t="s">
        <v>890</v>
      </c>
      <c r="G673" s="384">
        <v>41628</v>
      </c>
      <c r="H673" s="56" t="str">
        <f t="shared" si="812"/>
        <v>11 AÑOS</v>
      </c>
      <c r="I673" s="57">
        <v>13060.936503441904</v>
      </c>
      <c r="J673" s="58"/>
      <c r="K673" s="58"/>
      <c r="L673" s="59"/>
      <c r="M673" s="60">
        <v>4.0000000000000002E-4</v>
      </c>
      <c r="N673" s="61">
        <f t="shared" si="851"/>
        <v>522.43746013767623</v>
      </c>
      <c r="O673" s="58">
        <f t="shared" si="852"/>
        <v>13583.373963579581</v>
      </c>
      <c r="P673" s="61">
        <f t="shared" si="802"/>
        <v>27166.747927159162</v>
      </c>
      <c r="Q673" s="61">
        <f t="shared" si="803"/>
        <v>20375.060945369372</v>
      </c>
      <c r="R673" s="61">
        <f t="shared" si="804"/>
        <v>6791.6869817897905</v>
      </c>
      <c r="S673" s="61">
        <f t="shared" si="805"/>
        <v>905.55826423863869</v>
      </c>
      <c r="T673" s="58">
        <f t="shared" si="806"/>
        <v>1039.4903315195334</v>
      </c>
      <c r="U673" s="61">
        <f t="shared" si="807"/>
        <v>10187.530472684686</v>
      </c>
      <c r="V673" s="58">
        <f t="shared" si="808"/>
        <v>3395.8434908948952</v>
      </c>
      <c r="W673" s="62">
        <v>0</v>
      </c>
      <c r="X673" s="63">
        <f t="shared" si="853"/>
        <v>0</v>
      </c>
      <c r="Y673" s="61">
        <v>2705.9890659308981</v>
      </c>
      <c r="Z673" s="61">
        <v>0</v>
      </c>
      <c r="AA673" s="61">
        <f t="shared" si="854"/>
        <v>3395.8434908948948</v>
      </c>
      <c r="AB673" s="61">
        <f t="shared" si="855"/>
        <v>679.16869817897907</v>
      </c>
      <c r="AC673" s="61">
        <v>3878.0079250922895</v>
      </c>
      <c r="AD673" s="61">
        <v>2724.5561334292729</v>
      </c>
      <c r="AE673" s="61">
        <v>1611.2100138552769</v>
      </c>
      <c r="AF673" s="61">
        <v>0</v>
      </c>
      <c r="AG673" s="61">
        <f t="shared" si="856"/>
        <v>937.25280348699107</v>
      </c>
      <c r="AH673" s="64"/>
      <c r="AI673" s="64"/>
      <c r="AJ673" s="369">
        <v>5</v>
      </c>
      <c r="AK673" s="372" t="s">
        <v>42</v>
      </c>
      <c r="AL673" s="396">
        <v>16443</v>
      </c>
      <c r="AM673" s="440" t="s">
        <v>891</v>
      </c>
      <c r="AN673" s="371" t="s">
        <v>890</v>
      </c>
      <c r="AO673" s="368">
        <f>Q673*12</f>
        <v>244500.73134443245</v>
      </c>
      <c r="AP673" s="368">
        <f>R673*12</f>
        <v>81500.243781477489</v>
      </c>
      <c r="AQ673" s="368">
        <f t="shared" si="860"/>
        <v>0</v>
      </c>
      <c r="AR673" s="368">
        <f t="shared" si="860"/>
        <v>32471.868791170775</v>
      </c>
      <c r="AS673" s="368">
        <f t="shared" si="860"/>
        <v>0</v>
      </c>
      <c r="AT673" s="368">
        <f t="shared" si="860"/>
        <v>40750.121890738737</v>
      </c>
      <c r="AU673" s="368">
        <f t="shared" si="860"/>
        <v>8150.0243781477493</v>
      </c>
      <c r="AV673" s="368">
        <f t="shared" si="860"/>
        <v>46536.095101107472</v>
      </c>
      <c r="AW673" s="368">
        <f t="shared" si="860"/>
        <v>32694.673601151277</v>
      </c>
      <c r="AX673" s="368">
        <f t="shared" si="860"/>
        <v>19334.520166263323</v>
      </c>
      <c r="AY673" s="368">
        <f t="shared" si="860"/>
        <v>0</v>
      </c>
      <c r="AZ673" s="368">
        <f t="shared" si="860"/>
        <v>11247.033641843893</v>
      </c>
      <c r="BB673" s="64"/>
      <c r="BC673" s="66"/>
      <c r="BD673" s="66"/>
      <c r="BE673" s="66"/>
    </row>
    <row r="674" spans="2:57" s="364" customFormat="1" ht="21" customHeight="1" x14ac:dyDescent="0.2">
      <c r="B674" s="369">
        <v>6</v>
      </c>
      <c r="C674" s="372" t="s">
        <v>42</v>
      </c>
      <c r="D674" s="441"/>
      <c r="E674" s="375" t="s">
        <v>536</v>
      </c>
      <c r="F674" s="371" t="s">
        <v>890</v>
      </c>
      <c r="G674" s="55">
        <v>41640</v>
      </c>
      <c r="H674" s="56" t="str">
        <f t="shared" si="812"/>
        <v>10 AÑOS</v>
      </c>
      <c r="I674" s="57">
        <v>13060.936503441904</v>
      </c>
      <c r="J674" s="58"/>
      <c r="K674" s="58"/>
      <c r="L674" s="59"/>
      <c r="M674" s="60">
        <v>4.0000000000000002E-4</v>
      </c>
      <c r="N674" s="61">
        <f t="shared" si="851"/>
        <v>522.43746013767623</v>
      </c>
      <c r="O674" s="58">
        <f t="shared" si="852"/>
        <v>13583.373963579581</v>
      </c>
      <c r="P674" s="61">
        <f t="shared" si="802"/>
        <v>27166.747927159162</v>
      </c>
      <c r="Q674" s="61">
        <f t="shared" si="803"/>
        <v>20375.060945369372</v>
      </c>
      <c r="R674" s="61">
        <f t="shared" si="804"/>
        <v>6791.6869817897905</v>
      </c>
      <c r="S674" s="61">
        <f t="shared" si="805"/>
        <v>905.55826423863869</v>
      </c>
      <c r="T674" s="58">
        <f t="shared" si="806"/>
        <v>1039.4903315195334</v>
      </c>
      <c r="U674" s="61">
        <f t="shared" si="807"/>
        <v>10187.530472684686</v>
      </c>
      <c r="V674" s="58">
        <f t="shared" si="808"/>
        <v>3395.8434908948952</v>
      </c>
      <c r="W674" s="62">
        <v>0</v>
      </c>
      <c r="X674" s="63">
        <f t="shared" si="853"/>
        <v>0</v>
      </c>
      <c r="Y674" s="61">
        <v>2705.9890659308981</v>
      </c>
      <c r="Z674" s="61">
        <v>0</v>
      </c>
      <c r="AA674" s="61">
        <f t="shared" si="854"/>
        <v>3395.8434908948948</v>
      </c>
      <c r="AB674" s="61">
        <f t="shared" si="855"/>
        <v>679.16869817897907</v>
      </c>
      <c r="AC674" s="61">
        <v>3878.0079250922895</v>
      </c>
      <c r="AD674" s="61">
        <v>2724.5561334292729</v>
      </c>
      <c r="AE674" s="61">
        <v>1611.2100138552769</v>
      </c>
      <c r="AF674" s="61">
        <v>0</v>
      </c>
      <c r="AG674" s="61">
        <f t="shared" si="856"/>
        <v>937.25280348699107</v>
      </c>
      <c r="AH674" s="64"/>
      <c r="AI674" s="64"/>
      <c r="AJ674" s="369">
        <v>6</v>
      </c>
      <c r="AK674" s="372" t="s">
        <v>42</v>
      </c>
      <c r="AL674" s="441"/>
      <c r="AM674" s="375" t="s">
        <v>536</v>
      </c>
      <c r="AN674" s="371" t="s">
        <v>890</v>
      </c>
      <c r="AO674" s="368">
        <f>Q674*9.5</f>
        <v>193563.07898100905</v>
      </c>
      <c r="AP674" s="368">
        <f>R674*9.5</f>
        <v>64521.026327003012</v>
      </c>
      <c r="AQ674" s="368">
        <f t="shared" ref="AQ674:AZ674" si="861">X674*9.5</f>
        <v>0</v>
      </c>
      <c r="AR674" s="368">
        <f t="shared" si="861"/>
        <v>25706.89612634353</v>
      </c>
      <c r="AS674" s="368">
        <f t="shared" si="861"/>
        <v>0</v>
      </c>
      <c r="AT674" s="368">
        <f t="shared" si="861"/>
        <v>32260.513163501499</v>
      </c>
      <c r="AU674" s="368">
        <f t="shared" si="861"/>
        <v>6452.102632700301</v>
      </c>
      <c r="AV674" s="368">
        <f t="shared" si="861"/>
        <v>36841.075288376749</v>
      </c>
      <c r="AW674" s="368">
        <f t="shared" si="861"/>
        <v>25883.283267578092</v>
      </c>
      <c r="AX674" s="368">
        <f t="shared" si="861"/>
        <v>15306.49513162513</v>
      </c>
      <c r="AY674" s="368">
        <f t="shared" si="861"/>
        <v>0</v>
      </c>
      <c r="AZ674" s="368">
        <f t="shared" si="861"/>
        <v>8903.9016331264156</v>
      </c>
      <c r="BB674" s="64"/>
      <c r="BC674" s="66"/>
      <c r="BD674" s="66"/>
      <c r="BE674" s="66"/>
    </row>
    <row r="675" spans="2:57" s="364" customFormat="1" ht="21" customHeight="1" x14ac:dyDescent="0.2">
      <c r="B675" s="369">
        <v>7</v>
      </c>
      <c r="C675" s="372" t="s">
        <v>42</v>
      </c>
      <c r="D675" s="365">
        <v>16386</v>
      </c>
      <c r="E675" s="394" t="s">
        <v>892</v>
      </c>
      <c r="F675" s="371" t="s">
        <v>893</v>
      </c>
      <c r="G675" s="55">
        <v>41867</v>
      </c>
      <c r="H675" s="56" t="str">
        <f t="shared" si="812"/>
        <v>10 AÑOS</v>
      </c>
      <c r="I675" s="57">
        <v>10884.177019322882</v>
      </c>
      <c r="J675" s="58"/>
      <c r="K675" s="58"/>
      <c r="L675" s="59"/>
      <c r="M675" s="60">
        <v>4.0000000000000002E-4</v>
      </c>
      <c r="N675" s="61">
        <f t="shared" si="851"/>
        <v>435.3670807729153</v>
      </c>
      <c r="O675" s="58">
        <f t="shared" si="852"/>
        <v>11319.544100095798</v>
      </c>
      <c r="P675" s="61">
        <f t="shared" si="802"/>
        <v>22639.088200191596</v>
      </c>
      <c r="Q675" s="61">
        <f t="shared" si="803"/>
        <v>16979.316150143699</v>
      </c>
      <c r="R675" s="61">
        <f t="shared" si="804"/>
        <v>5659.772050047899</v>
      </c>
      <c r="S675" s="61">
        <f t="shared" si="805"/>
        <v>754.63627333971988</v>
      </c>
      <c r="T675" s="58">
        <f t="shared" si="806"/>
        <v>866.24697816666435</v>
      </c>
      <c r="U675" s="61">
        <f t="shared" si="807"/>
        <v>8489.6580750718495</v>
      </c>
      <c r="V675" s="58">
        <f t="shared" si="808"/>
        <v>2829.8860250239495</v>
      </c>
      <c r="W675" s="62">
        <v>0</v>
      </c>
      <c r="X675" s="63">
        <f t="shared" si="853"/>
        <v>0</v>
      </c>
      <c r="Y675" s="61">
        <v>1980.6579776706942</v>
      </c>
      <c r="Z675" s="61">
        <v>0</v>
      </c>
      <c r="AA675" s="61">
        <f t="shared" si="854"/>
        <v>2829.88602502395</v>
      </c>
      <c r="AB675" s="61">
        <f t="shared" si="855"/>
        <v>565.97720500478988</v>
      </c>
      <c r="AC675" s="61">
        <v>3323.0894893444083</v>
      </c>
      <c r="AD675" s="61">
        <v>2270.4766421237355</v>
      </c>
      <c r="AE675" s="61">
        <v>1342.6828161583298</v>
      </c>
      <c r="AF675" s="61">
        <v>0</v>
      </c>
      <c r="AG675" s="61">
        <f t="shared" si="856"/>
        <v>781.04854290661001</v>
      </c>
      <c r="AH675" s="64"/>
      <c r="AI675" s="64"/>
      <c r="AJ675" s="369">
        <v>7</v>
      </c>
      <c r="AK675" s="372" t="s">
        <v>42</v>
      </c>
      <c r="AL675" s="365">
        <v>16386</v>
      </c>
      <c r="AM675" s="394" t="s">
        <v>892</v>
      </c>
      <c r="AN675" s="371" t="s">
        <v>893</v>
      </c>
      <c r="AO675" s="368">
        <f t="shared" ref="AO675:AP680" si="862">Q675*12</f>
        <v>203751.79380172439</v>
      </c>
      <c r="AP675" s="368">
        <f t="shared" si="862"/>
        <v>67917.264600574796</v>
      </c>
      <c r="AQ675" s="368">
        <f t="shared" ref="AQ675:AZ680" si="863">X675*12</f>
        <v>0</v>
      </c>
      <c r="AR675" s="368">
        <f t="shared" si="863"/>
        <v>23767.895732048331</v>
      </c>
      <c r="AS675" s="368">
        <f t="shared" si="863"/>
        <v>0</v>
      </c>
      <c r="AT675" s="368">
        <f t="shared" si="863"/>
        <v>33958.632300287398</v>
      </c>
      <c r="AU675" s="368">
        <f t="shared" si="863"/>
        <v>6791.7264600574781</v>
      </c>
      <c r="AV675" s="368">
        <f t="shared" si="863"/>
        <v>39877.073872132896</v>
      </c>
      <c r="AW675" s="368">
        <f t="shared" si="863"/>
        <v>27245.719705484826</v>
      </c>
      <c r="AX675" s="368">
        <f t="shared" si="863"/>
        <v>16112.193793899958</v>
      </c>
      <c r="AY675" s="368">
        <f t="shared" si="863"/>
        <v>0</v>
      </c>
      <c r="AZ675" s="368">
        <f t="shared" si="863"/>
        <v>9372.5825148793192</v>
      </c>
      <c r="BB675" s="64"/>
      <c r="BC675" s="66"/>
      <c r="BD675" s="66"/>
      <c r="BE675" s="66"/>
    </row>
    <row r="676" spans="2:57" s="364" customFormat="1" ht="21" customHeight="1" x14ac:dyDescent="0.2">
      <c r="B676" s="369">
        <v>8</v>
      </c>
      <c r="C676" s="372" t="s">
        <v>42</v>
      </c>
      <c r="D676" s="365">
        <v>16291</v>
      </c>
      <c r="E676" s="394" t="s">
        <v>894</v>
      </c>
      <c r="F676" s="371" t="s">
        <v>893</v>
      </c>
      <c r="G676" s="55">
        <v>40053</v>
      </c>
      <c r="H676" s="56" t="str">
        <f t="shared" si="812"/>
        <v>15 AÑOS</v>
      </c>
      <c r="I676" s="57">
        <v>10884.177019322882</v>
      </c>
      <c r="J676" s="58"/>
      <c r="K676" s="58"/>
      <c r="L676" s="59"/>
      <c r="M676" s="60">
        <v>4.0000000000000002E-4</v>
      </c>
      <c r="N676" s="61">
        <f t="shared" si="851"/>
        <v>435.3670807729153</v>
      </c>
      <c r="O676" s="58">
        <f t="shared" si="852"/>
        <v>11319.544100095798</v>
      </c>
      <c r="P676" s="61">
        <f t="shared" si="802"/>
        <v>22639.088200191596</v>
      </c>
      <c r="Q676" s="61">
        <f t="shared" si="803"/>
        <v>16979.316150143699</v>
      </c>
      <c r="R676" s="61">
        <f t="shared" si="804"/>
        <v>5659.772050047899</v>
      </c>
      <c r="S676" s="61">
        <f t="shared" si="805"/>
        <v>754.63627333971988</v>
      </c>
      <c r="T676" s="58">
        <f t="shared" si="806"/>
        <v>866.24697816666435</v>
      </c>
      <c r="U676" s="61">
        <f t="shared" si="807"/>
        <v>8489.6580750718495</v>
      </c>
      <c r="V676" s="58">
        <f t="shared" si="808"/>
        <v>2829.8860250239495</v>
      </c>
      <c r="W676" s="62">
        <v>0</v>
      </c>
      <c r="X676" s="63">
        <f t="shared" si="853"/>
        <v>0</v>
      </c>
      <c r="Y676" s="61">
        <v>1980.6579776706942</v>
      </c>
      <c r="Z676" s="61">
        <v>0</v>
      </c>
      <c r="AA676" s="61">
        <f t="shared" si="854"/>
        <v>2829.88602502395</v>
      </c>
      <c r="AB676" s="61">
        <f t="shared" si="855"/>
        <v>565.97720500478988</v>
      </c>
      <c r="AC676" s="61">
        <v>3323.0894893444083</v>
      </c>
      <c r="AD676" s="61">
        <v>2270.4766421237355</v>
      </c>
      <c r="AE676" s="61">
        <v>1342.6828161583298</v>
      </c>
      <c r="AF676" s="61">
        <v>0</v>
      </c>
      <c r="AG676" s="61">
        <f t="shared" si="856"/>
        <v>781.04854290661001</v>
      </c>
      <c r="AH676" s="64"/>
      <c r="AI676" s="64"/>
      <c r="AJ676" s="369">
        <v>8</v>
      </c>
      <c r="AK676" s="372" t="s">
        <v>42</v>
      </c>
      <c r="AL676" s="365">
        <v>16291</v>
      </c>
      <c r="AM676" s="394" t="s">
        <v>894</v>
      </c>
      <c r="AN676" s="371" t="s">
        <v>893</v>
      </c>
      <c r="AO676" s="368">
        <f t="shared" si="862"/>
        <v>203751.79380172439</v>
      </c>
      <c r="AP676" s="368">
        <f t="shared" si="862"/>
        <v>67917.264600574796</v>
      </c>
      <c r="AQ676" s="368">
        <f t="shared" si="863"/>
        <v>0</v>
      </c>
      <c r="AR676" s="368">
        <f t="shared" si="863"/>
        <v>23767.895732048331</v>
      </c>
      <c r="AS676" s="368">
        <f t="shared" si="863"/>
        <v>0</v>
      </c>
      <c r="AT676" s="368">
        <f t="shared" si="863"/>
        <v>33958.632300287398</v>
      </c>
      <c r="AU676" s="368">
        <f t="shared" si="863"/>
        <v>6791.7264600574781</v>
      </c>
      <c r="AV676" s="368">
        <f t="shared" si="863"/>
        <v>39877.073872132896</v>
      </c>
      <c r="AW676" s="368">
        <f t="shared" si="863"/>
        <v>27245.719705484826</v>
      </c>
      <c r="AX676" s="368">
        <f t="shared" si="863"/>
        <v>16112.193793899958</v>
      </c>
      <c r="AY676" s="368">
        <f t="shared" si="863"/>
        <v>0</v>
      </c>
      <c r="AZ676" s="368">
        <f t="shared" si="863"/>
        <v>9372.5825148793192</v>
      </c>
      <c r="BB676" s="64"/>
      <c r="BC676" s="66"/>
      <c r="BD676" s="66"/>
      <c r="BE676" s="66"/>
    </row>
    <row r="677" spans="2:57" s="364" customFormat="1" ht="21" customHeight="1" x14ac:dyDescent="0.2">
      <c r="B677" s="369">
        <v>9</v>
      </c>
      <c r="C677" s="372" t="s">
        <v>42</v>
      </c>
      <c r="D677" s="365">
        <v>16391</v>
      </c>
      <c r="E677" s="394" t="s">
        <v>895</v>
      </c>
      <c r="F677" s="371" t="s">
        <v>893</v>
      </c>
      <c r="G677" s="55">
        <v>41867</v>
      </c>
      <c r="H677" s="56" t="str">
        <f t="shared" si="812"/>
        <v>10 AÑOS</v>
      </c>
      <c r="I677" s="57">
        <v>10884.177019322882</v>
      </c>
      <c r="J677" s="58"/>
      <c r="K677" s="58"/>
      <c r="L677" s="59"/>
      <c r="M677" s="60">
        <v>4.0000000000000002E-4</v>
      </c>
      <c r="N677" s="61">
        <f t="shared" si="851"/>
        <v>435.3670807729153</v>
      </c>
      <c r="O677" s="58">
        <f t="shared" si="852"/>
        <v>11319.544100095798</v>
      </c>
      <c r="P677" s="61">
        <f t="shared" si="802"/>
        <v>22639.088200191596</v>
      </c>
      <c r="Q677" s="61">
        <f t="shared" si="803"/>
        <v>16979.316150143699</v>
      </c>
      <c r="R677" s="61">
        <f t="shared" si="804"/>
        <v>5659.772050047899</v>
      </c>
      <c r="S677" s="61">
        <f t="shared" si="805"/>
        <v>754.63627333971988</v>
      </c>
      <c r="T677" s="58">
        <f t="shared" si="806"/>
        <v>866.24697816666435</v>
      </c>
      <c r="U677" s="61">
        <f t="shared" si="807"/>
        <v>8489.6580750718495</v>
      </c>
      <c r="V677" s="58">
        <f t="shared" si="808"/>
        <v>2829.8860250239495</v>
      </c>
      <c r="W677" s="62">
        <v>0</v>
      </c>
      <c r="X677" s="63">
        <f t="shared" si="853"/>
        <v>0</v>
      </c>
      <c r="Y677" s="61">
        <v>1980.6579776706942</v>
      </c>
      <c r="Z677" s="61">
        <v>0</v>
      </c>
      <c r="AA677" s="61">
        <f t="shared" si="854"/>
        <v>2829.88602502395</v>
      </c>
      <c r="AB677" s="61">
        <f t="shared" si="855"/>
        <v>565.97720500478988</v>
      </c>
      <c r="AC677" s="61">
        <v>3323.0894893444083</v>
      </c>
      <c r="AD677" s="61">
        <v>2270.4766421237355</v>
      </c>
      <c r="AE677" s="61">
        <v>1342.6828161583298</v>
      </c>
      <c r="AF677" s="61">
        <v>0</v>
      </c>
      <c r="AG677" s="61">
        <f t="shared" si="856"/>
        <v>781.04854290661001</v>
      </c>
      <c r="AH677" s="64"/>
      <c r="AI677" s="64"/>
      <c r="AJ677" s="369">
        <v>9</v>
      </c>
      <c r="AK677" s="372" t="s">
        <v>42</v>
      </c>
      <c r="AL677" s="365">
        <v>16391</v>
      </c>
      <c r="AM677" s="394" t="s">
        <v>895</v>
      </c>
      <c r="AN677" s="371" t="s">
        <v>893</v>
      </c>
      <c r="AO677" s="368">
        <f t="shared" si="862"/>
        <v>203751.79380172439</v>
      </c>
      <c r="AP677" s="368">
        <f t="shared" si="862"/>
        <v>67917.264600574796</v>
      </c>
      <c r="AQ677" s="368">
        <f t="shared" si="863"/>
        <v>0</v>
      </c>
      <c r="AR677" s="368">
        <f t="shared" si="863"/>
        <v>23767.895732048331</v>
      </c>
      <c r="AS677" s="368">
        <f t="shared" si="863"/>
        <v>0</v>
      </c>
      <c r="AT677" s="368">
        <f t="shared" si="863"/>
        <v>33958.632300287398</v>
      </c>
      <c r="AU677" s="368">
        <f t="shared" si="863"/>
        <v>6791.7264600574781</v>
      </c>
      <c r="AV677" s="368">
        <f t="shared" si="863"/>
        <v>39877.073872132896</v>
      </c>
      <c r="AW677" s="368">
        <f t="shared" si="863"/>
        <v>27245.719705484826</v>
      </c>
      <c r="AX677" s="368">
        <f t="shared" si="863"/>
        <v>16112.193793899958</v>
      </c>
      <c r="AY677" s="368">
        <f t="shared" si="863"/>
        <v>0</v>
      </c>
      <c r="AZ677" s="368">
        <f t="shared" si="863"/>
        <v>9372.5825148793192</v>
      </c>
      <c r="BB677" s="64"/>
      <c r="BC677" s="66"/>
      <c r="BD677" s="66"/>
      <c r="BE677" s="66"/>
    </row>
    <row r="678" spans="2:57" s="364" customFormat="1" ht="21" customHeight="1" x14ac:dyDescent="0.2">
      <c r="B678" s="369">
        <v>10</v>
      </c>
      <c r="C678" s="372" t="s">
        <v>42</v>
      </c>
      <c r="D678" s="365">
        <v>16282</v>
      </c>
      <c r="E678" s="371" t="s">
        <v>896</v>
      </c>
      <c r="F678" s="371" t="s">
        <v>893</v>
      </c>
      <c r="G678" s="55">
        <v>39715</v>
      </c>
      <c r="H678" s="56" t="str">
        <f t="shared" si="812"/>
        <v>16 AÑOS</v>
      </c>
      <c r="I678" s="57">
        <v>10884.177019322882</v>
      </c>
      <c r="J678" s="58"/>
      <c r="K678" s="58"/>
      <c r="L678" s="59"/>
      <c r="M678" s="60">
        <v>4.0000000000000002E-4</v>
      </c>
      <c r="N678" s="61">
        <f t="shared" si="851"/>
        <v>435.3670807729153</v>
      </c>
      <c r="O678" s="58">
        <f t="shared" si="852"/>
        <v>11319.544100095798</v>
      </c>
      <c r="P678" s="61">
        <f t="shared" si="802"/>
        <v>22639.088200191596</v>
      </c>
      <c r="Q678" s="61">
        <f t="shared" si="803"/>
        <v>16979.316150143699</v>
      </c>
      <c r="R678" s="61">
        <f t="shared" si="804"/>
        <v>5659.772050047899</v>
      </c>
      <c r="S678" s="61">
        <f t="shared" si="805"/>
        <v>754.63627333971988</v>
      </c>
      <c r="T678" s="58">
        <f t="shared" si="806"/>
        <v>866.24697816666435</v>
      </c>
      <c r="U678" s="61">
        <f t="shared" si="807"/>
        <v>8489.6580750718495</v>
      </c>
      <c r="V678" s="58">
        <f t="shared" si="808"/>
        <v>2829.8860250239495</v>
      </c>
      <c r="W678" s="62">
        <v>0</v>
      </c>
      <c r="X678" s="63">
        <f t="shared" si="853"/>
        <v>0</v>
      </c>
      <c r="Y678" s="61">
        <v>1980.6579776706942</v>
      </c>
      <c r="Z678" s="61">
        <v>0</v>
      </c>
      <c r="AA678" s="61">
        <f t="shared" si="854"/>
        <v>2829.88602502395</v>
      </c>
      <c r="AB678" s="61">
        <f t="shared" si="855"/>
        <v>565.97720500478988</v>
      </c>
      <c r="AC678" s="61">
        <v>3323.0894893444083</v>
      </c>
      <c r="AD678" s="61">
        <v>2270.4766421237355</v>
      </c>
      <c r="AE678" s="61">
        <v>1342.6828161583298</v>
      </c>
      <c r="AF678" s="61">
        <v>0</v>
      </c>
      <c r="AG678" s="61">
        <f t="shared" si="856"/>
        <v>781.04854290661001</v>
      </c>
      <c r="AH678" s="64"/>
      <c r="AI678" s="64"/>
      <c r="AJ678" s="369">
        <v>10</v>
      </c>
      <c r="AK678" s="372" t="s">
        <v>42</v>
      </c>
      <c r="AL678" s="365">
        <v>16282</v>
      </c>
      <c r="AM678" s="371" t="s">
        <v>896</v>
      </c>
      <c r="AN678" s="371" t="s">
        <v>893</v>
      </c>
      <c r="AO678" s="368">
        <f t="shared" si="862"/>
        <v>203751.79380172439</v>
      </c>
      <c r="AP678" s="368">
        <f t="shared" si="862"/>
        <v>67917.264600574796</v>
      </c>
      <c r="AQ678" s="368">
        <f t="shared" si="863"/>
        <v>0</v>
      </c>
      <c r="AR678" s="368">
        <f t="shared" si="863"/>
        <v>23767.895732048331</v>
      </c>
      <c r="AS678" s="368">
        <f t="shared" si="863"/>
        <v>0</v>
      </c>
      <c r="AT678" s="368">
        <f t="shared" si="863"/>
        <v>33958.632300287398</v>
      </c>
      <c r="AU678" s="368">
        <f t="shared" si="863"/>
        <v>6791.7264600574781</v>
      </c>
      <c r="AV678" s="368">
        <f t="shared" si="863"/>
        <v>39877.073872132896</v>
      </c>
      <c r="AW678" s="368">
        <f t="shared" si="863"/>
        <v>27245.719705484826</v>
      </c>
      <c r="AX678" s="368">
        <f t="shared" si="863"/>
        <v>16112.193793899958</v>
      </c>
      <c r="AY678" s="368">
        <f t="shared" si="863"/>
        <v>0</v>
      </c>
      <c r="AZ678" s="368">
        <f t="shared" si="863"/>
        <v>9372.5825148793192</v>
      </c>
      <c r="BB678" s="64"/>
      <c r="BC678" s="66"/>
      <c r="BD678" s="66"/>
      <c r="BE678" s="66"/>
    </row>
    <row r="679" spans="2:57" s="364" customFormat="1" ht="21" customHeight="1" x14ac:dyDescent="0.2">
      <c r="B679" s="369">
        <v>11</v>
      </c>
      <c r="C679" s="372" t="s">
        <v>42</v>
      </c>
      <c r="D679" s="365">
        <v>16323</v>
      </c>
      <c r="E679" s="371" t="s">
        <v>897</v>
      </c>
      <c r="F679" s="371" t="s">
        <v>893</v>
      </c>
      <c r="G679" s="384">
        <v>41015</v>
      </c>
      <c r="H679" s="56" t="str">
        <f t="shared" si="812"/>
        <v>12 AÑOS</v>
      </c>
      <c r="I679" s="57">
        <v>10884.177019322882</v>
      </c>
      <c r="J679" s="58"/>
      <c r="K679" s="58"/>
      <c r="L679" s="59"/>
      <c r="M679" s="60">
        <v>4.0000000000000002E-4</v>
      </c>
      <c r="N679" s="61">
        <f t="shared" si="851"/>
        <v>435.3670807729153</v>
      </c>
      <c r="O679" s="58">
        <f t="shared" si="852"/>
        <v>11319.544100095798</v>
      </c>
      <c r="P679" s="61">
        <f t="shared" si="802"/>
        <v>22639.088200191596</v>
      </c>
      <c r="Q679" s="61">
        <f t="shared" si="803"/>
        <v>16979.316150143699</v>
      </c>
      <c r="R679" s="61">
        <f t="shared" si="804"/>
        <v>5659.772050047899</v>
      </c>
      <c r="S679" s="61">
        <f t="shared" si="805"/>
        <v>754.63627333971988</v>
      </c>
      <c r="T679" s="58">
        <f t="shared" si="806"/>
        <v>866.24697816666435</v>
      </c>
      <c r="U679" s="61">
        <f t="shared" si="807"/>
        <v>8489.6580750718495</v>
      </c>
      <c r="V679" s="58">
        <f t="shared" si="808"/>
        <v>2829.8860250239495</v>
      </c>
      <c r="W679" s="62">
        <v>0</v>
      </c>
      <c r="X679" s="63">
        <f t="shared" si="853"/>
        <v>0</v>
      </c>
      <c r="Y679" s="61">
        <v>1980.6579776706942</v>
      </c>
      <c r="Z679" s="61">
        <v>0</v>
      </c>
      <c r="AA679" s="61">
        <f t="shared" si="854"/>
        <v>2829.88602502395</v>
      </c>
      <c r="AB679" s="61">
        <f t="shared" si="855"/>
        <v>565.97720500478988</v>
      </c>
      <c r="AC679" s="61">
        <v>3323.0894893444083</v>
      </c>
      <c r="AD679" s="61">
        <v>2270.4766421237355</v>
      </c>
      <c r="AE679" s="61">
        <v>1342.6828161583298</v>
      </c>
      <c r="AF679" s="61">
        <v>0</v>
      </c>
      <c r="AG679" s="61">
        <f t="shared" si="856"/>
        <v>781.04854290661001</v>
      </c>
      <c r="AH679" s="64"/>
      <c r="AI679" s="64"/>
      <c r="AJ679" s="369">
        <v>11</v>
      </c>
      <c r="AK679" s="372" t="s">
        <v>42</v>
      </c>
      <c r="AL679" s="365">
        <v>16323</v>
      </c>
      <c r="AM679" s="371" t="s">
        <v>897</v>
      </c>
      <c r="AN679" s="371" t="s">
        <v>893</v>
      </c>
      <c r="AO679" s="368">
        <f t="shared" si="862"/>
        <v>203751.79380172439</v>
      </c>
      <c r="AP679" s="368">
        <f t="shared" si="862"/>
        <v>67917.264600574796</v>
      </c>
      <c r="AQ679" s="368">
        <f t="shared" si="863"/>
        <v>0</v>
      </c>
      <c r="AR679" s="368">
        <f t="shared" si="863"/>
        <v>23767.895732048331</v>
      </c>
      <c r="AS679" s="368">
        <f t="shared" si="863"/>
        <v>0</v>
      </c>
      <c r="AT679" s="368">
        <f t="shared" si="863"/>
        <v>33958.632300287398</v>
      </c>
      <c r="AU679" s="368">
        <f t="shared" si="863"/>
        <v>6791.7264600574781</v>
      </c>
      <c r="AV679" s="368">
        <f t="shared" si="863"/>
        <v>39877.073872132896</v>
      </c>
      <c r="AW679" s="368">
        <f t="shared" si="863"/>
        <v>27245.719705484826</v>
      </c>
      <c r="AX679" s="368">
        <f t="shared" si="863"/>
        <v>16112.193793899958</v>
      </c>
      <c r="AY679" s="368">
        <f t="shared" si="863"/>
        <v>0</v>
      </c>
      <c r="AZ679" s="368">
        <f t="shared" si="863"/>
        <v>9372.5825148793192</v>
      </c>
      <c r="BB679" s="64"/>
      <c r="BC679" s="66"/>
      <c r="BD679" s="66"/>
      <c r="BE679" s="66"/>
    </row>
    <row r="680" spans="2:57" s="364" customFormat="1" ht="21" customHeight="1" x14ac:dyDescent="0.2">
      <c r="B680" s="369">
        <v>12</v>
      </c>
      <c r="C680" s="372" t="s">
        <v>42</v>
      </c>
      <c r="D680" s="365">
        <v>16285</v>
      </c>
      <c r="E680" s="371" t="s">
        <v>898</v>
      </c>
      <c r="F680" s="371" t="s">
        <v>893</v>
      </c>
      <c r="G680" s="55">
        <v>42339</v>
      </c>
      <c r="H680" s="56" t="str">
        <f t="shared" si="812"/>
        <v>9 AÑOS</v>
      </c>
      <c r="I680" s="57">
        <v>10884.177019322882</v>
      </c>
      <c r="J680" s="58"/>
      <c r="K680" s="58"/>
      <c r="L680" s="59"/>
      <c r="M680" s="60">
        <v>4.0000000000000002E-4</v>
      </c>
      <c r="N680" s="61">
        <f t="shared" si="851"/>
        <v>435.3670807729153</v>
      </c>
      <c r="O680" s="58">
        <f t="shared" si="852"/>
        <v>11319.544100095798</v>
      </c>
      <c r="P680" s="61">
        <f t="shared" si="802"/>
        <v>22639.088200191596</v>
      </c>
      <c r="Q680" s="61">
        <f t="shared" si="803"/>
        <v>16979.316150143699</v>
      </c>
      <c r="R680" s="61">
        <f t="shared" si="804"/>
        <v>5659.772050047899</v>
      </c>
      <c r="S680" s="61">
        <f t="shared" si="805"/>
        <v>754.63627333971988</v>
      </c>
      <c r="T680" s="58">
        <f t="shared" si="806"/>
        <v>866.24697816666435</v>
      </c>
      <c r="U680" s="61">
        <f t="shared" si="807"/>
        <v>8489.6580750718495</v>
      </c>
      <c r="V680" s="58">
        <f t="shared" si="808"/>
        <v>2829.8860250239495</v>
      </c>
      <c r="W680" s="62">
        <v>0</v>
      </c>
      <c r="X680" s="63">
        <f t="shared" si="853"/>
        <v>0</v>
      </c>
      <c r="Y680" s="61">
        <v>1980.6579776706942</v>
      </c>
      <c r="Z680" s="61">
        <v>0</v>
      </c>
      <c r="AA680" s="61">
        <f t="shared" si="854"/>
        <v>2829.88602502395</v>
      </c>
      <c r="AB680" s="61">
        <f t="shared" si="855"/>
        <v>565.97720500478988</v>
      </c>
      <c r="AC680" s="61">
        <v>3323.0894893444083</v>
      </c>
      <c r="AD680" s="61">
        <v>2270.4766421237355</v>
      </c>
      <c r="AE680" s="61">
        <v>1342.6828161583298</v>
      </c>
      <c r="AF680" s="61">
        <v>0</v>
      </c>
      <c r="AG680" s="61">
        <f t="shared" si="856"/>
        <v>781.04854290661001</v>
      </c>
      <c r="AH680" s="64"/>
      <c r="AI680" s="64"/>
      <c r="AJ680" s="369">
        <v>12</v>
      </c>
      <c r="AK680" s="372" t="s">
        <v>42</v>
      </c>
      <c r="AL680" s="365">
        <v>16285</v>
      </c>
      <c r="AM680" s="371" t="s">
        <v>898</v>
      </c>
      <c r="AN680" s="371" t="s">
        <v>893</v>
      </c>
      <c r="AO680" s="368">
        <f t="shared" si="862"/>
        <v>203751.79380172439</v>
      </c>
      <c r="AP680" s="368">
        <f t="shared" si="862"/>
        <v>67917.264600574796</v>
      </c>
      <c r="AQ680" s="368">
        <f t="shared" si="863"/>
        <v>0</v>
      </c>
      <c r="AR680" s="368">
        <f t="shared" si="863"/>
        <v>23767.895732048331</v>
      </c>
      <c r="AS680" s="368">
        <f t="shared" si="863"/>
        <v>0</v>
      </c>
      <c r="AT680" s="368">
        <f t="shared" si="863"/>
        <v>33958.632300287398</v>
      </c>
      <c r="AU680" s="368">
        <f t="shared" si="863"/>
        <v>6791.7264600574781</v>
      </c>
      <c r="AV680" s="368">
        <f t="shared" si="863"/>
        <v>39877.073872132896</v>
      </c>
      <c r="AW680" s="368">
        <f t="shared" si="863"/>
        <v>27245.719705484826</v>
      </c>
      <c r="AX680" s="368">
        <f t="shared" si="863"/>
        <v>16112.193793899958</v>
      </c>
      <c r="AY680" s="368">
        <f t="shared" si="863"/>
        <v>0</v>
      </c>
      <c r="AZ680" s="368">
        <f t="shared" si="863"/>
        <v>9372.5825148793192</v>
      </c>
      <c r="BB680" s="64"/>
      <c r="BC680" s="66"/>
      <c r="BD680" s="66"/>
      <c r="BE680" s="66"/>
    </row>
    <row r="681" spans="2:57" s="364" customFormat="1" ht="21" customHeight="1" x14ac:dyDescent="0.2">
      <c r="B681" s="369">
        <v>13</v>
      </c>
      <c r="C681" s="372" t="s">
        <v>42</v>
      </c>
      <c r="D681" s="365"/>
      <c r="E681" s="391" t="s">
        <v>55</v>
      </c>
      <c r="F681" s="371" t="s">
        <v>893</v>
      </c>
      <c r="G681" s="55"/>
      <c r="H681" s="56"/>
      <c r="I681" s="57">
        <v>10884.177019322882</v>
      </c>
      <c r="J681" s="58"/>
      <c r="K681" s="58"/>
      <c r="L681" s="59"/>
      <c r="M681" s="60">
        <v>4.0000000000000002E-4</v>
      </c>
      <c r="N681" s="61">
        <f t="shared" si="851"/>
        <v>435.3670807729153</v>
      </c>
      <c r="O681" s="58">
        <f t="shared" si="852"/>
        <v>11319.544100095798</v>
      </c>
      <c r="P681" s="61">
        <f t="shared" si="802"/>
        <v>22639.088200191596</v>
      </c>
      <c r="Q681" s="61">
        <f t="shared" si="803"/>
        <v>16979.316150143699</v>
      </c>
      <c r="R681" s="61">
        <f t="shared" si="804"/>
        <v>5659.772050047899</v>
      </c>
      <c r="S681" s="61">
        <f t="shared" si="805"/>
        <v>754.63627333971988</v>
      </c>
      <c r="T681" s="58">
        <f t="shared" si="806"/>
        <v>866.24697816666435</v>
      </c>
      <c r="U681" s="61">
        <f t="shared" si="807"/>
        <v>8489.6580750718495</v>
      </c>
      <c r="V681" s="58">
        <f t="shared" si="808"/>
        <v>2829.8860250239495</v>
      </c>
      <c r="W681" s="62">
        <v>0</v>
      </c>
      <c r="X681" s="63">
        <f t="shared" si="853"/>
        <v>0</v>
      </c>
      <c r="Y681" s="61">
        <v>1980.6579776706942</v>
      </c>
      <c r="Z681" s="61">
        <v>0</v>
      </c>
      <c r="AA681" s="61">
        <f t="shared" si="854"/>
        <v>2829.88602502395</v>
      </c>
      <c r="AB681" s="61">
        <f t="shared" si="855"/>
        <v>565.97720500478988</v>
      </c>
      <c r="AC681" s="61">
        <v>3323.0894893444083</v>
      </c>
      <c r="AD681" s="61">
        <v>2270.4766421237355</v>
      </c>
      <c r="AE681" s="61">
        <v>1342.6828161583298</v>
      </c>
      <c r="AF681" s="61">
        <v>0</v>
      </c>
      <c r="AG681" s="61">
        <f t="shared" si="856"/>
        <v>781.04854290661001</v>
      </c>
      <c r="AH681" s="64"/>
      <c r="AI681" s="64"/>
      <c r="AJ681" s="369">
        <v>13</v>
      </c>
      <c r="AK681" s="372" t="s">
        <v>42</v>
      </c>
      <c r="AL681" s="365"/>
      <c r="AM681" s="391" t="s">
        <v>55</v>
      </c>
      <c r="AN681" s="371" t="s">
        <v>893</v>
      </c>
      <c r="AO681" s="368">
        <f>Q681*4.5</f>
        <v>76406.922675646638</v>
      </c>
      <c r="AP681" s="368">
        <f>R681*4.5</f>
        <v>25468.974225215545</v>
      </c>
      <c r="AQ681" s="368">
        <f t="shared" ref="AQ681:AZ681" si="864">X681*4.5</f>
        <v>0</v>
      </c>
      <c r="AR681" s="368">
        <f t="shared" si="864"/>
        <v>8912.9608995181243</v>
      </c>
      <c r="AS681" s="368">
        <f t="shared" si="864"/>
        <v>0</v>
      </c>
      <c r="AT681" s="368">
        <f t="shared" si="864"/>
        <v>12734.487112607774</v>
      </c>
      <c r="AU681" s="368">
        <f t="shared" si="864"/>
        <v>2546.8974225215543</v>
      </c>
      <c r="AV681" s="368">
        <f t="shared" si="864"/>
        <v>14953.902702049838</v>
      </c>
      <c r="AW681" s="368">
        <f t="shared" si="864"/>
        <v>10217.14488955681</v>
      </c>
      <c r="AX681" s="368">
        <f t="shared" si="864"/>
        <v>6042.0726727124838</v>
      </c>
      <c r="AY681" s="368">
        <f t="shared" si="864"/>
        <v>0</v>
      </c>
      <c r="AZ681" s="368">
        <f t="shared" si="864"/>
        <v>3514.7184430797452</v>
      </c>
      <c r="BB681" s="64"/>
      <c r="BC681" s="66"/>
      <c r="BD681" s="66"/>
      <c r="BE681" s="66"/>
    </row>
    <row r="682" spans="2:57" s="364" customFormat="1" ht="21" customHeight="1" x14ac:dyDescent="0.2">
      <c r="B682" s="369">
        <v>14</v>
      </c>
      <c r="C682" s="372" t="s">
        <v>42</v>
      </c>
      <c r="D682" s="365"/>
      <c r="E682" s="375" t="s">
        <v>55</v>
      </c>
      <c r="F682" s="371" t="s">
        <v>893</v>
      </c>
      <c r="G682" s="384"/>
      <c r="H682" s="56"/>
      <c r="I682" s="57">
        <v>10884.177019322882</v>
      </c>
      <c r="J682" s="58"/>
      <c r="K682" s="58"/>
      <c r="L682" s="59"/>
      <c r="M682" s="60">
        <v>4.0000000000000002E-4</v>
      </c>
      <c r="N682" s="61">
        <f>I682*0.04</f>
        <v>435.3670807729153</v>
      </c>
      <c r="O682" s="58">
        <f>I682+N682</f>
        <v>11319.544100095798</v>
      </c>
      <c r="P682" s="61">
        <f>O682*2</f>
        <v>22639.088200191596</v>
      </c>
      <c r="Q682" s="61">
        <f>P682*0.75</f>
        <v>16979.316150143699</v>
      </c>
      <c r="R682" s="61">
        <f>P682*0.25</f>
        <v>5659.772050047899</v>
      </c>
      <c r="S682" s="61">
        <f>(P682/30)</f>
        <v>754.63627333971988</v>
      </c>
      <c r="T682" s="58">
        <f>S682*1.1479</f>
        <v>866.24697816666435</v>
      </c>
      <c r="U682" s="61">
        <f>O682*0.75</f>
        <v>8489.6580750718495</v>
      </c>
      <c r="V682" s="58">
        <f>O682*0.25</f>
        <v>2829.8860250239495</v>
      </c>
      <c r="W682" s="62">
        <v>0</v>
      </c>
      <c r="X682" s="63">
        <f>P682*W682</f>
        <v>0</v>
      </c>
      <c r="Y682" s="61">
        <v>1980.6579776706942</v>
      </c>
      <c r="Z682" s="61">
        <v>0</v>
      </c>
      <c r="AA682" s="61">
        <f>(S682*45)/12</f>
        <v>2829.88602502395</v>
      </c>
      <c r="AB682" s="61">
        <f>(S682*10)*(0.45*2)/12</f>
        <v>565.97720500478988</v>
      </c>
      <c r="AC682" s="61">
        <v>3323.0894893444083</v>
      </c>
      <c r="AD682" s="61">
        <v>2270.4766421237355</v>
      </c>
      <c r="AE682" s="61">
        <v>1342.6828161583298</v>
      </c>
      <c r="AF682" s="61">
        <v>0</v>
      </c>
      <c r="AG682" s="61">
        <f>(P682+AA682+AB682)*0.03</f>
        <v>781.04854290661001</v>
      </c>
      <c r="AH682" s="64"/>
      <c r="AI682" s="64"/>
      <c r="AJ682" s="369">
        <v>14</v>
      </c>
      <c r="AK682" s="372" t="s">
        <v>42</v>
      </c>
      <c r="AL682" s="365"/>
      <c r="AM682" s="375" t="s">
        <v>55</v>
      </c>
      <c r="AN682" s="371" t="s">
        <v>893</v>
      </c>
      <c r="AO682" s="368">
        <f>Q682*5.5</f>
        <v>93386.238825790351</v>
      </c>
      <c r="AP682" s="368">
        <f>R682*5.5</f>
        <v>31128.746275263446</v>
      </c>
      <c r="AQ682" s="368">
        <f t="shared" ref="AQ682:AZ682" si="865">X682*5.5</f>
        <v>0</v>
      </c>
      <c r="AR682" s="368">
        <f t="shared" si="865"/>
        <v>10893.618877188817</v>
      </c>
      <c r="AS682" s="368">
        <f t="shared" si="865"/>
        <v>0</v>
      </c>
      <c r="AT682" s="368">
        <f t="shared" si="865"/>
        <v>15564.373137631725</v>
      </c>
      <c r="AU682" s="368">
        <f t="shared" si="865"/>
        <v>3112.8746275263443</v>
      </c>
      <c r="AV682" s="368">
        <f t="shared" si="865"/>
        <v>18276.992191394245</v>
      </c>
      <c r="AW682" s="368">
        <f t="shared" si="865"/>
        <v>12487.621531680545</v>
      </c>
      <c r="AX682" s="368">
        <f t="shared" si="865"/>
        <v>7384.7554888708146</v>
      </c>
      <c r="AY682" s="368">
        <f t="shared" si="865"/>
        <v>0</v>
      </c>
      <c r="AZ682" s="368">
        <f t="shared" si="865"/>
        <v>4295.7669859863554</v>
      </c>
      <c r="BB682" s="64"/>
      <c r="BC682" s="66"/>
      <c r="BD682" s="66"/>
      <c r="BE682" s="66"/>
    </row>
    <row r="683" spans="2:57" s="364" customFormat="1" ht="21" customHeight="1" x14ac:dyDescent="0.2">
      <c r="B683" s="369">
        <v>15</v>
      </c>
      <c r="C683" s="372" t="s">
        <v>42</v>
      </c>
      <c r="D683" s="365"/>
      <c r="E683" s="375" t="s">
        <v>55</v>
      </c>
      <c r="F683" s="371" t="s">
        <v>893</v>
      </c>
      <c r="G683" s="55"/>
      <c r="H683" s="56"/>
      <c r="I683" s="57">
        <v>10884.177019322882</v>
      </c>
      <c r="J683" s="58"/>
      <c r="K683" s="58"/>
      <c r="L683" s="59"/>
      <c r="M683" s="60">
        <v>4.0000000000000002E-4</v>
      </c>
      <c r="N683" s="61">
        <f>I683*0.04</f>
        <v>435.3670807729153</v>
      </c>
      <c r="O683" s="58">
        <f>I683+N683</f>
        <v>11319.544100095798</v>
      </c>
      <c r="P683" s="61">
        <f>O683*2</f>
        <v>22639.088200191596</v>
      </c>
      <c r="Q683" s="61">
        <f>P683*0.75</f>
        <v>16979.316150143699</v>
      </c>
      <c r="R683" s="61">
        <f>P683*0.25</f>
        <v>5659.772050047899</v>
      </c>
      <c r="S683" s="61">
        <f>(P683/30)</f>
        <v>754.63627333971988</v>
      </c>
      <c r="T683" s="58">
        <f>S683*1.1479</f>
        <v>866.24697816666435</v>
      </c>
      <c r="U683" s="61">
        <f>O683*0.75</f>
        <v>8489.6580750718495</v>
      </c>
      <c r="V683" s="58">
        <f>O683*0.25</f>
        <v>2829.8860250239495</v>
      </c>
      <c r="W683" s="62">
        <v>0</v>
      </c>
      <c r="X683" s="63">
        <f>P683*W683</f>
        <v>0</v>
      </c>
      <c r="Y683" s="61">
        <v>1980.6579776706942</v>
      </c>
      <c r="Z683" s="61">
        <v>0</v>
      </c>
      <c r="AA683" s="61">
        <f>(S683*45)/12</f>
        <v>2829.88602502395</v>
      </c>
      <c r="AB683" s="61">
        <f>(S683*10)*(0.45*2)/12</f>
        <v>565.97720500478988</v>
      </c>
      <c r="AC683" s="61">
        <v>3323.0894893444083</v>
      </c>
      <c r="AD683" s="61">
        <v>2270.4766421237355</v>
      </c>
      <c r="AE683" s="61">
        <v>1342.6828161583298</v>
      </c>
      <c r="AF683" s="61">
        <v>0</v>
      </c>
      <c r="AG683" s="61">
        <f>(P683+AA683+AB683)*0.03</f>
        <v>781.04854290661001</v>
      </c>
      <c r="AH683" s="64"/>
      <c r="AI683" s="64"/>
      <c r="AJ683" s="369">
        <v>15</v>
      </c>
      <c r="AK683" s="372" t="s">
        <v>42</v>
      </c>
      <c r="AL683" s="365"/>
      <c r="AM683" s="375" t="s">
        <v>55</v>
      </c>
      <c r="AN683" s="371" t="s">
        <v>893</v>
      </c>
      <c r="AO683" s="368">
        <f>Q683*6.5</f>
        <v>110365.55497593404</v>
      </c>
      <c r="AP683" s="368">
        <f>R683*6.5</f>
        <v>36788.518325311343</v>
      </c>
      <c r="AQ683" s="368">
        <f t="shared" ref="AQ683:AZ683" si="866">X683*6.5</f>
        <v>0</v>
      </c>
      <c r="AR683" s="368">
        <f t="shared" si="866"/>
        <v>12874.276854859512</v>
      </c>
      <c r="AS683" s="368">
        <f t="shared" si="866"/>
        <v>0</v>
      </c>
      <c r="AT683" s="368">
        <f t="shared" si="866"/>
        <v>18394.259162655675</v>
      </c>
      <c r="AU683" s="368">
        <f t="shared" si="866"/>
        <v>3678.8518325311343</v>
      </c>
      <c r="AV683" s="368">
        <f t="shared" si="866"/>
        <v>21600.081680738655</v>
      </c>
      <c r="AW683" s="368">
        <f t="shared" si="866"/>
        <v>14758.098173804281</v>
      </c>
      <c r="AX683" s="368">
        <f t="shared" si="866"/>
        <v>8727.4383050291435</v>
      </c>
      <c r="AY683" s="368">
        <f t="shared" si="866"/>
        <v>0</v>
      </c>
      <c r="AZ683" s="368">
        <f t="shared" si="866"/>
        <v>5076.8155288929647</v>
      </c>
      <c r="BB683" s="64"/>
      <c r="BC683" s="66"/>
      <c r="BD683" s="66"/>
      <c r="BE683" s="66"/>
    </row>
    <row r="684" spans="2:57" ht="21" customHeight="1" x14ac:dyDescent="0.2">
      <c r="B684" s="51">
        <v>16</v>
      </c>
      <c r="C684" s="73" t="s">
        <v>42</v>
      </c>
      <c r="D684" s="67">
        <v>16376</v>
      </c>
      <c r="E684" s="192" t="s">
        <v>899</v>
      </c>
      <c r="F684" s="72" t="s">
        <v>893</v>
      </c>
      <c r="G684" s="55">
        <v>41640</v>
      </c>
      <c r="H684" s="56" t="str">
        <f t="shared" si="812"/>
        <v>10 AÑOS</v>
      </c>
      <c r="I684" s="57">
        <v>10884.177019322882</v>
      </c>
      <c r="J684" s="58"/>
      <c r="K684" s="58"/>
      <c r="L684" s="59"/>
      <c r="M684" s="60">
        <v>4.0000000000000002E-4</v>
      </c>
      <c r="N684" s="61">
        <f t="shared" si="851"/>
        <v>435.3670807729153</v>
      </c>
      <c r="O684" s="58">
        <f t="shared" si="852"/>
        <v>11319.544100095798</v>
      </c>
      <c r="P684" s="61">
        <f t="shared" si="802"/>
        <v>22639.088200191596</v>
      </c>
      <c r="Q684" s="61">
        <f t="shared" si="803"/>
        <v>16979.316150143699</v>
      </c>
      <c r="R684" s="61">
        <f t="shared" si="804"/>
        <v>5659.772050047899</v>
      </c>
      <c r="S684" s="61">
        <f t="shared" si="805"/>
        <v>754.63627333971988</v>
      </c>
      <c r="T684" s="58">
        <f t="shared" si="806"/>
        <v>866.24697816666435</v>
      </c>
      <c r="U684" s="61">
        <f t="shared" si="807"/>
        <v>8489.6580750718495</v>
      </c>
      <c r="V684" s="58">
        <f t="shared" si="808"/>
        <v>2829.8860250239495</v>
      </c>
      <c r="W684" s="62">
        <v>0</v>
      </c>
      <c r="X684" s="63">
        <f t="shared" si="853"/>
        <v>0</v>
      </c>
      <c r="Y684" s="61">
        <v>1980.6579776706942</v>
      </c>
      <c r="Z684" s="61">
        <v>0</v>
      </c>
      <c r="AA684" s="61">
        <f t="shared" si="854"/>
        <v>2829.88602502395</v>
      </c>
      <c r="AB684" s="61">
        <f t="shared" si="855"/>
        <v>565.97720500478988</v>
      </c>
      <c r="AC684" s="61">
        <v>3323.0894893444083</v>
      </c>
      <c r="AD684" s="61">
        <v>2270.4766421237355</v>
      </c>
      <c r="AE684" s="61">
        <v>1342.6828161583298</v>
      </c>
      <c r="AF684" s="61">
        <v>0</v>
      </c>
      <c r="AG684" s="61">
        <f t="shared" si="856"/>
        <v>781.04854290661001</v>
      </c>
      <c r="AH684" s="64"/>
      <c r="AI684" s="64"/>
      <c r="AJ684" s="51">
        <v>16</v>
      </c>
      <c r="AK684" s="73" t="s">
        <v>42</v>
      </c>
      <c r="AL684" s="67">
        <v>16376</v>
      </c>
      <c r="AM684" s="192" t="s">
        <v>899</v>
      </c>
      <c r="AN684" s="72" t="s">
        <v>893</v>
      </c>
      <c r="AO684" s="65">
        <f t="shared" ref="AO684:AO710" si="867">Q684*12</f>
        <v>203751.79380172439</v>
      </c>
      <c r="AP684" s="65">
        <f t="shared" ref="AP684:AP710" si="868">R684*12</f>
        <v>67917.264600574796</v>
      </c>
      <c r="AQ684" s="65">
        <f t="shared" ref="AQ684:AQ710" si="869">X684*12</f>
        <v>0</v>
      </c>
      <c r="AR684" s="65">
        <f t="shared" ref="AR684:AR710" si="870">Y684*12</f>
        <v>23767.895732048331</v>
      </c>
      <c r="AS684" s="65">
        <f t="shared" ref="AS684:AS710" si="871">Z684*12</f>
        <v>0</v>
      </c>
      <c r="AT684" s="65">
        <f t="shared" ref="AT684:AT710" si="872">AA684*12</f>
        <v>33958.632300287398</v>
      </c>
      <c r="AU684" s="65">
        <f t="shared" ref="AU684:AU710" si="873">AB684*12</f>
        <v>6791.7264600574781</v>
      </c>
      <c r="AV684" s="65">
        <f t="shared" ref="AV684:AV710" si="874">AC684*12</f>
        <v>39877.073872132896</v>
      </c>
      <c r="AW684" s="65">
        <f t="shared" ref="AW684:AW710" si="875">AD684*12</f>
        <v>27245.719705484826</v>
      </c>
      <c r="AX684" s="65">
        <f t="shared" ref="AX684:AX710" si="876">AE684*12</f>
        <v>16112.193793899958</v>
      </c>
      <c r="AY684" s="65">
        <f t="shared" ref="AY684:AY710" si="877">AF684*12</f>
        <v>0</v>
      </c>
      <c r="AZ684" s="65">
        <f t="shared" ref="AZ684:AZ710" si="878">AG684*12</f>
        <v>9372.5825148793192</v>
      </c>
      <c r="BB684" s="64"/>
      <c r="BC684" s="66"/>
      <c r="BD684" s="66"/>
      <c r="BE684" s="66"/>
    </row>
    <row r="685" spans="2:57" ht="21" customHeight="1" x14ac:dyDescent="0.2">
      <c r="B685" s="51">
        <v>17</v>
      </c>
      <c r="C685" s="73" t="s">
        <v>42</v>
      </c>
      <c r="D685" s="67">
        <v>16112</v>
      </c>
      <c r="E685" s="192" t="s">
        <v>900</v>
      </c>
      <c r="F685" s="72" t="s">
        <v>901</v>
      </c>
      <c r="G685" s="55">
        <v>37188</v>
      </c>
      <c r="H685" s="56" t="str">
        <f xml:space="preserve"> CONCATENATE(DATEDIF(G685,H$5,"Y")," AÑOS")</f>
        <v>23 AÑOS</v>
      </c>
      <c r="I685" s="57">
        <v>9070.1517297780483</v>
      </c>
      <c r="J685" s="58"/>
      <c r="K685" s="58"/>
      <c r="L685" s="59"/>
      <c r="M685" s="60">
        <v>4.0000000000000002E-4</v>
      </c>
      <c r="N685" s="61">
        <f t="shared" si="851"/>
        <v>362.80606919112194</v>
      </c>
      <c r="O685" s="58">
        <f t="shared" si="852"/>
        <v>9432.9577989691697</v>
      </c>
      <c r="P685" s="61">
        <f t="shared" si="802"/>
        <v>18865.915597938339</v>
      </c>
      <c r="Q685" s="61">
        <f t="shared" si="803"/>
        <v>14149.436698453756</v>
      </c>
      <c r="R685" s="61">
        <f t="shared" si="804"/>
        <v>4716.4788994845849</v>
      </c>
      <c r="S685" s="61">
        <f t="shared" si="805"/>
        <v>628.86385326461129</v>
      </c>
      <c r="T685" s="58">
        <f t="shared" si="806"/>
        <v>721.87281716244729</v>
      </c>
      <c r="U685" s="61">
        <f t="shared" si="807"/>
        <v>7074.7183492268778</v>
      </c>
      <c r="V685" s="58">
        <f t="shared" si="808"/>
        <v>2358.2394497422924</v>
      </c>
      <c r="W685" s="62">
        <v>0</v>
      </c>
      <c r="X685" s="63">
        <f t="shared" si="853"/>
        <v>0</v>
      </c>
      <c r="Y685" s="61">
        <v>1415.2799523629128</v>
      </c>
      <c r="Z685" s="61">
        <v>0</v>
      </c>
      <c r="AA685" s="61">
        <f t="shared" si="854"/>
        <v>2358.2394497422924</v>
      </c>
      <c r="AB685" s="61">
        <f t="shared" si="855"/>
        <v>471.6478899484585</v>
      </c>
      <c r="AC685" s="61">
        <v>2860.6424053071373</v>
      </c>
      <c r="AD685" s="81">
        <v>1892.0647474236325</v>
      </c>
      <c r="AE685" s="61">
        <v>1118.9028666017934</v>
      </c>
      <c r="AF685" s="61">
        <v>0</v>
      </c>
      <c r="AG685" s="61">
        <f t="shared" si="856"/>
        <v>650.8740881288727</v>
      </c>
      <c r="AH685" s="64"/>
      <c r="AI685" s="64"/>
      <c r="AJ685" s="51">
        <v>17</v>
      </c>
      <c r="AK685" s="73" t="s">
        <v>42</v>
      </c>
      <c r="AL685" s="67">
        <v>16112</v>
      </c>
      <c r="AM685" s="192" t="s">
        <v>900</v>
      </c>
      <c r="AN685" s="72" t="s">
        <v>901</v>
      </c>
      <c r="AO685" s="65">
        <f t="shared" si="867"/>
        <v>169793.24038144507</v>
      </c>
      <c r="AP685" s="65">
        <f t="shared" si="868"/>
        <v>56597.746793815022</v>
      </c>
      <c r="AQ685" s="65">
        <f t="shared" si="869"/>
        <v>0</v>
      </c>
      <c r="AR685" s="65">
        <f t="shared" si="870"/>
        <v>16983.359428354954</v>
      </c>
      <c r="AS685" s="65">
        <f t="shared" si="871"/>
        <v>0</v>
      </c>
      <c r="AT685" s="65">
        <f t="shared" si="872"/>
        <v>28298.873396907511</v>
      </c>
      <c r="AU685" s="65">
        <f t="shared" si="873"/>
        <v>5659.7746793815022</v>
      </c>
      <c r="AV685" s="65">
        <f t="shared" si="874"/>
        <v>34327.70886368565</v>
      </c>
      <c r="AW685" s="65">
        <f t="shared" si="875"/>
        <v>22704.776969083592</v>
      </c>
      <c r="AX685" s="65">
        <f t="shared" si="876"/>
        <v>13426.834399221521</v>
      </c>
      <c r="AY685" s="65">
        <f t="shared" si="877"/>
        <v>0</v>
      </c>
      <c r="AZ685" s="65">
        <f t="shared" si="878"/>
        <v>7810.4890575464724</v>
      </c>
      <c r="BB685" s="64"/>
      <c r="BC685" s="66"/>
      <c r="BD685" s="66"/>
      <c r="BE685" s="66"/>
    </row>
    <row r="686" spans="2:57" ht="21" customHeight="1" x14ac:dyDescent="0.2">
      <c r="B686" s="51">
        <v>18</v>
      </c>
      <c r="C686" s="73" t="s">
        <v>42</v>
      </c>
      <c r="D686" s="67">
        <v>16484</v>
      </c>
      <c r="E686" s="73" t="s">
        <v>902</v>
      </c>
      <c r="F686" s="72" t="s">
        <v>901</v>
      </c>
      <c r="G686" s="55">
        <v>43405</v>
      </c>
      <c r="H686" s="56" t="str">
        <f xml:space="preserve"> CONCATENATE(DATEDIF(G686,H$5,"Y")," AÑOS")</f>
        <v>6 AÑOS</v>
      </c>
      <c r="I686" s="57">
        <v>9070.1517297780483</v>
      </c>
      <c r="J686" s="58"/>
      <c r="K686" s="58"/>
      <c r="L686" s="59"/>
      <c r="M686" s="60">
        <v>4.0000000000000002E-4</v>
      </c>
      <c r="N686" s="61">
        <f t="shared" si="851"/>
        <v>362.80606919112194</v>
      </c>
      <c r="O686" s="58">
        <f t="shared" si="852"/>
        <v>9432.9577989691697</v>
      </c>
      <c r="P686" s="61">
        <f t="shared" si="802"/>
        <v>18865.915597938339</v>
      </c>
      <c r="Q686" s="61">
        <f t="shared" si="803"/>
        <v>14149.436698453756</v>
      </c>
      <c r="R686" s="61">
        <f t="shared" si="804"/>
        <v>4716.4788994845849</v>
      </c>
      <c r="S686" s="61">
        <f t="shared" si="805"/>
        <v>628.86385326461129</v>
      </c>
      <c r="T686" s="58">
        <f t="shared" si="806"/>
        <v>721.87281716244729</v>
      </c>
      <c r="U686" s="61">
        <f t="shared" si="807"/>
        <v>7074.7183492268778</v>
      </c>
      <c r="V686" s="58">
        <f t="shared" si="808"/>
        <v>2358.2394497422924</v>
      </c>
      <c r="W686" s="62">
        <v>0</v>
      </c>
      <c r="X686" s="63">
        <f t="shared" si="853"/>
        <v>0</v>
      </c>
      <c r="Y686" s="61">
        <v>1415.2799523629128</v>
      </c>
      <c r="Z686" s="61">
        <v>0</v>
      </c>
      <c r="AA686" s="61">
        <f t="shared" si="854"/>
        <v>2358.2394497422924</v>
      </c>
      <c r="AB686" s="61">
        <f t="shared" si="855"/>
        <v>471.6478899484585</v>
      </c>
      <c r="AC686" s="61">
        <v>2860.6424053071373</v>
      </c>
      <c r="AD686" s="81">
        <v>1892.0647474236325</v>
      </c>
      <c r="AE686" s="61">
        <v>1118.9028666017934</v>
      </c>
      <c r="AF686" s="61">
        <v>0</v>
      </c>
      <c r="AG686" s="61">
        <f t="shared" si="856"/>
        <v>650.8740881288727</v>
      </c>
      <c r="AH686" s="64"/>
      <c r="AI686" s="64"/>
      <c r="AJ686" s="51">
        <v>18</v>
      </c>
      <c r="AK686" s="73" t="s">
        <v>42</v>
      </c>
      <c r="AL686" s="67">
        <v>16484</v>
      </c>
      <c r="AM686" s="73" t="s">
        <v>902</v>
      </c>
      <c r="AN686" s="72" t="s">
        <v>901</v>
      </c>
      <c r="AO686" s="65">
        <f t="shared" si="867"/>
        <v>169793.24038144507</v>
      </c>
      <c r="AP686" s="65">
        <f t="shared" si="868"/>
        <v>56597.746793815022</v>
      </c>
      <c r="AQ686" s="65">
        <f t="shared" si="869"/>
        <v>0</v>
      </c>
      <c r="AR686" s="65">
        <f t="shared" si="870"/>
        <v>16983.359428354954</v>
      </c>
      <c r="AS686" s="65">
        <f t="shared" si="871"/>
        <v>0</v>
      </c>
      <c r="AT686" s="65">
        <f t="shared" si="872"/>
        <v>28298.873396907511</v>
      </c>
      <c r="AU686" s="65">
        <f t="shared" si="873"/>
        <v>5659.7746793815022</v>
      </c>
      <c r="AV686" s="65">
        <f t="shared" si="874"/>
        <v>34327.70886368565</v>
      </c>
      <c r="AW686" s="65">
        <f t="shared" si="875"/>
        <v>22704.776969083592</v>
      </c>
      <c r="AX686" s="65">
        <f t="shared" si="876"/>
        <v>13426.834399221521</v>
      </c>
      <c r="AY686" s="65">
        <f t="shared" si="877"/>
        <v>0</v>
      </c>
      <c r="AZ686" s="65">
        <f t="shared" si="878"/>
        <v>7810.4890575464724</v>
      </c>
      <c r="BB686" s="64"/>
      <c r="BC686" s="66"/>
      <c r="BD686" s="66"/>
      <c r="BE686" s="66"/>
    </row>
    <row r="687" spans="2:57" ht="21" customHeight="1" x14ac:dyDescent="0.2">
      <c r="B687" s="51">
        <v>19</v>
      </c>
      <c r="C687" s="73" t="s">
        <v>42</v>
      </c>
      <c r="D687" s="67">
        <v>16516</v>
      </c>
      <c r="E687" s="73" t="s">
        <v>903</v>
      </c>
      <c r="F687" s="72" t="s">
        <v>901</v>
      </c>
      <c r="G687" s="169">
        <v>43540</v>
      </c>
      <c r="H687" s="56" t="str">
        <f xml:space="preserve"> CONCATENATE(DATEDIF(G687,H$5,"Y")," AÑOS")</f>
        <v>5 AÑOS</v>
      </c>
      <c r="I687" s="57">
        <v>9070.1517297780483</v>
      </c>
      <c r="J687" s="58"/>
      <c r="K687" s="58"/>
      <c r="L687" s="59"/>
      <c r="M687" s="60">
        <v>4.0000000000000002E-4</v>
      </c>
      <c r="N687" s="61">
        <f t="shared" si="851"/>
        <v>362.80606919112194</v>
      </c>
      <c r="O687" s="58">
        <f t="shared" si="852"/>
        <v>9432.9577989691697</v>
      </c>
      <c r="P687" s="61">
        <f t="shared" si="802"/>
        <v>18865.915597938339</v>
      </c>
      <c r="Q687" s="61">
        <f t="shared" si="803"/>
        <v>14149.436698453756</v>
      </c>
      <c r="R687" s="61">
        <f t="shared" si="804"/>
        <v>4716.4788994845849</v>
      </c>
      <c r="S687" s="61">
        <f t="shared" si="805"/>
        <v>628.86385326461129</v>
      </c>
      <c r="T687" s="58">
        <f t="shared" si="806"/>
        <v>721.87281716244729</v>
      </c>
      <c r="U687" s="61">
        <f t="shared" si="807"/>
        <v>7074.7183492268778</v>
      </c>
      <c r="V687" s="58">
        <f t="shared" si="808"/>
        <v>2358.2394497422924</v>
      </c>
      <c r="W687" s="62">
        <v>0</v>
      </c>
      <c r="X687" s="63">
        <f t="shared" si="853"/>
        <v>0</v>
      </c>
      <c r="Y687" s="61">
        <v>1415.2799523629128</v>
      </c>
      <c r="Z687" s="61">
        <v>0</v>
      </c>
      <c r="AA687" s="61">
        <f t="shared" si="854"/>
        <v>2358.2394497422924</v>
      </c>
      <c r="AB687" s="61">
        <f t="shared" si="855"/>
        <v>471.6478899484585</v>
      </c>
      <c r="AC687" s="61">
        <v>2860.6424053071373</v>
      </c>
      <c r="AD687" s="81">
        <v>1892.0647474236325</v>
      </c>
      <c r="AE687" s="61">
        <v>1118.9028666017934</v>
      </c>
      <c r="AF687" s="61">
        <v>0</v>
      </c>
      <c r="AG687" s="61">
        <f t="shared" si="856"/>
        <v>650.8740881288727</v>
      </c>
      <c r="AH687" s="64"/>
      <c r="AI687" s="64"/>
      <c r="AJ687" s="51">
        <v>19</v>
      </c>
      <c r="AK687" s="73" t="s">
        <v>42</v>
      </c>
      <c r="AL687" s="67">
        <v>16516</v>
      </c>
      <c r="AM687" s="73" t="s">
        <v>903</v>
      </c>
      <c r="AN687" s="72" t="s">
        <v>901</v>
      </c>
      <c r="AO687" s="65">
        <f t="shared" si="867"/>
        <v>169793.24038144507</v>
      </c>
      <c r="AP687" s="65">
        <f t="shared" si="868"/>
        <v>56597.746793815022</v>
      </c>
      <c r="AQ687" s="65">
        <f t="shared" si="869"/>
        <v>0</v>
      </c>
      <c r="AR687" s="65">
        <f t="shared" si="870"/>
        <v>16983.359428354954</v>
      </c>
      <c r="AS687" s="65">
        <f t="shared" si="871"/>
        <v>0</v>
      </c>
      <c r="AT687" s="65">
        <f t="shared" si="872"/>
        <v>28298.873396907511</v>
      </c>
      <c r="AU687" s="65">
        <f t="shared" si="873"/>
        <v>5659.7746793815022</v>
      </c>
      <c r="AV687" s="65">
        <f t="shared" si="874"/>
        <v>34327.70886368565</v>
      </c>
      <c r="AW687" s="65">
        <f t="shared" si="875"/>
        <v>22704.776969083592</v>
      </c>
      <c r="AX687" s="65">
        <f t="shared" si="876"/>
        <v>13426.834399221521</v>
      </c>
      <c r="AY687" s="65">
        <f t="shared" si="877"/>
        <v>0</v>
      </c>
      <c r="AZ687" s="65">
        <f t="shared" si="878"/>
        <v>7810.4890575464724</v>
      </c>
      <c r="BB687" s="64"/>
      <c r="BC687" s="66"/>
      <c r="BD687" s="66"/>
      <c r="BE687" s="66"/>
    </row>
    <row r="688" spans="2:57" ht="21" customHeight="1" x14ac:dyDescent="0.2">
      <c r="B688" s="51">
        <v>20</v>
      </c>
      <c r="C688" s="73" t="s">
        <v>42</v>
      </c>
      <c r="D688" s="67">
        <v>16250</v>
      </c>
      <c r="E688" s="72" t="s">
        <v>904</v>
      </c>
      <c r="F688" s="72" t="s">
        <v>901</v>
      </c>
      <c r="G688" s="169">
        <v>44013</v>
      </c>
      <c r="H688" s="56" t="str">
        <f xml:space="preserve"> CONCATENATE(DATEDIF(G688,H$5,"Y")," AÑOS")</f>
        <v>4 AÑOS</v>
      </c>
      <c r="I688" s="57">
        <v>9070.1517297780483</v>
      </c>
      <c r="J688" s="58"/>
      <c r="K688" s="58"/>
      <c r="L688" s="59"/>
      <c r="M688" s="60">
        <v>4.0000000000000002E-4</v>
      </c>
      <c r="N688" s="61">
        <f t="shared" si="851"/>
        <v>362.80606919112194</v>
      </c>
      <c r="O688" s="58">
        <f t="shared" si="852"/>
        <v>9432.9577989691697</v>
      </c>
      <c r="P688" s="61">
        <f t="shared" si="802"/>
        <v>18865.915597938339</v>
      </c>
      <c r="Q688" s="61">
        <f t="shared" si="803"/>
        <v>14149.436698453756</v>
      </c>
      <c r="R688" s="61">
        <f t="shared" si="804"/>
        <v>4716.4788994845849</v>
      </c>
      <c r="S688" s="61">
        <f t="shared" si="805"/>
        <v>628.86385326461129</v>
      </c>
      <c r="T688" s="58">
        <f t="shared" si="806"/>
        <v>721.87281716244729</v>
      </c>
      <c r="U688" s="61">
        <f t="shared" si="807"/>
        <v>7074.7183492268778</v>
      </c>
      <c r="V688" s="58">
        <f t="shared" si="808"/>
        <v>2358.2394497422924</v>
      </c>
      <c r="W688" s="62">
        <v>0</v>
      </c>
      <c r="X688" s="63">
        <f t="shared" si="853"/>
        <v>0</v>
      </c>
      <c r="Y688" s="61">
        <v>1415.2799523629128</v>
      </c>
      <c r="Z688" s="61">
        <v>0</v>
      </c>
      <c r="AA688" s="61">
        <f t="shared" si="854"/>
        <v>2358.2394497422924</v>
      </c>
      <c r="AB688" s="61">
        <f t="shared" si="855"/>
        <v>471.6478899484585</v>
      </c>
      <c r="AC688" s="61">
        <v>2860.6424053071373</v>
      </c>
      <c r="AD688" s="81">
        <v>1892.0647474236325</v>
      </c>
      <c r="AE688" s="61">
        <v>1118.9028666017934</v>
      </c>
      <c r="AF688" s="61">
        <v>0</v>
      </c>
      <c r="AG688" s="61">
        <f t="shared" si="856"/>
        <v>650.8740881288727</v>
      </c>
      <c r="AH688" s="64"/>
      <c r="AI688" s="64"/>
      <c r="AJ688" s="51">
        <v>20</v>
      </c>
      <c r="AK688" s="73" t="s">
        <v>42</v>
      </c>
      <c r="AL688" s="67">
        <v>16250</v>
      </c>
      <c r="AM688" s="72" t="s">
        <v>904</v>
      </c>
      <c r="AN688" s="72" t="s">
        <v>901</v>
      </c>
      <c r="AO688" s="65">
        <f t="shared" si="867"/>
        <v>169793.24038144507</v>
      </c>
      <c r="AP688" s="65">
        <f t="shared" si="868"/>
        <v>56597.746793815022</v>
      </c>
      <c r="AQ688" s="65">
        <f t="shared" si="869"/>
        <v>0</v>
      </c>
      <c r="AR688" s="65">
        <f t="shared" si="870"/>
        <v>16983.359428354954</v>
      </c>
      <c r="AS688" s="65">
        <f t="shared" si="871"/>
        <v>0</v>
      </c>
      <c r="AT688" s="65">
        <f t="shared" si="872"/>
        <v>28298.873396907511</v>
      </c>
      <c r="AU688" s="65">
        <f t="shared" si="873"/>
        <v>5659.7746793815022</v>
      </c>
      <c r="AV688" s="65">
        <f t="shared" si="874"/>
        <v>34327.70886368565</v>
      </c>
      <c r="AW688" s="65">
        <f t="shared" si="875"/>
        <v>22704.776969083592</v>
      </c>
      <c r="AX688" s="65">
        <f t="shared" si="876"/>
        <v>13426.834399221521</v>
      </c>
      <c r="AY688" s="65">
        <f t="shared" si="877"/>
        <v>0</v>
      </c>
      <c r="AZ688" s="65">
        <f t="shared" si="878"/>
        <v>7810.4890575464724</v>
      </c>
      <c r="BB688" s="64"/>
      <c r="BC688" s="66"/>
      <c r="BD688" s="66"/>
      <c r="BE688" s="66"/>
    </row>
    <row r="689" spans="2:57" ht="21" customHeight="1" x14ac:dyDescent="0.2">
      <c r="B689" s="51">
        <v>21</v>
      </c>
      <c r="C689" s="73" t="s">
        <v>42</v>
      </c>
      <c r="D689" s="67">
        <v>16475</v>
      </c>
      <c r="E689" s="72" t="s">
        <v>905</v>
      </c>
      <c r="F689" s="72" t="s">
        <v>901</v>
      </c>
      <c r="G689" s="55">
        <v>43101</v>
      </c>
      <c r="H689" s="56" t="str">
        <f t="shared" ref="H689:H699" si="879" xml:space="preserve"> CONCATENATE(DATEDIF(G689,H$5,"Y")," AÑOS")</f>
        <v>6 AÑOS</v>
      </c>
      <c r="I689" s="57">
        <v>9070.1517297780483</v>
      </c>
      <c r="J689" s="58"/>
      <c r="K689" s="58"/>
      <c r="L689" s="59"/>
      <c r="M689" s="60">
        <v>4.0000000000000002E-4</v>
      </c>
      <c r="N689" s="61">
        <f t="shared" si="851"/>
        <v>362.80606919112194</v>
      </c>
      <c r="O689" s="58">
        <f t="shared" si="852"/>
        <v>9432.9577989691697</v>
      </c>
      <c r="P689" s="61">
        <f t="shared" si="802"/>
        <v>18865.915597938339</v>
      </c>
      <c r="Q689" s="61">
        <f t="shared" si="803"/>
        <v>14149.436698453756</v>
      </c>
      <c r="R689" s="61">
        <f t="shared" si="804"/>
        <v>4716.4788994845849</v>
      </c>
      <c r="S689" s="61">
        <f t="shared" si="805"/>
        <v>628.86385326461129</v>
      </c>
      <c r="T689" s="58">
        <f t="shared" si="806"/>
        <v>721.87281716244729</v>
      </c>
      <c r="U689" s="61">
        <f t="shared" si="807"/>
        <v>7074.7183492268778</v>
      </c>
      <c r="V689" s="58">
        <f t="shared" si="808"/>
        <v>2358.2394497422924</v>
      </c>
      <c r="W689" s="62">
        <v>0</v>
      </c>
      <c r="X689" s="63">
        <f t="shared" si="853"/>
        <v>0</v>
      </c>
      <c r="Y689" s="61">
        <v>1415.2799523629128</v>
      </c>
      <c r="Z689" s="61">
        <v>0</v>
      </c>
      <c r="AA689" s="61">
        <f t="shared" si="854"/>
        <v>2358.2394497422924</v>
      </c>
      <c r="AB689" s="61">
        <f t="shared" si="855"/>
        <v>471.6478899484585</v>
      </c>
      <c r="AC689" s="61">
        <v>2860.6424053071373</v>
      </c>
      <c r="AD689" s="81">
        <v>1892.0647474236325</v>
      </c>
      <c r="AE689" s="61">
        <v>1118.9028666017934</v>
      </c>
      <c r="AF689" s="61">
        <v>0</v>
      </c>
      <c r="AG689" s="61">
        <f t="shared" si="856"/>
        <v>650.8740881288727</v>
      </c>
      <c r="AH689" s="64"/>
      <c r="AI689" s="64"/>
      <c r="AJ689" s="51">
        <v>21</v>
      </c>
      <c r="AK689" s="73" t="s">
        <v>42</v>
      </c>
      <c r="AL689" s="67">
        <v>16475</v>
      </c>
      <c r="AM689" s="72" t="s">
        <v>905</v>
      </c>
      <c r="AN689" s="72" t="s">
        <v>901</v>
      </c>
      <c r="AO689" s="65">
        <f t="shared" si="867"/>
        <v>169793.24038144507</v>
      </c>
      <c r="AP689" s="65">
        <f t="shared" si="868"/>
        <v>56597.746793815022</v>
      </c>
      <c r="AQ689" s="65">
        <f t="shared" si="869"/>
        <v>0</v>
      </c>
      <c r="AR689" s="65">
        <f t="shared" si="870"/>
        <v>16983.359428354954</v>
      </c>
      <c r="AS689" s="65">
        <f t="shared" si="871"/>
        <v>0</v>
      </c>
      <c r="AT689" s="65">
        <f t="shared" si="872"/>
        <v>28298.873396907511</v>
      </c>
      <c r="AU689" s="65">
        <f t="shared" si="873"/>
        <v>5659.7746793815022</v>
      </c>
      <c r="AV689" s="65">
        <f t="shared" si="874"/>
        <v>34327.70886368565</v>
      </c>
      <c r="AW689" s="65">
        <f t="shared" si="875"/>
        <v>22704.776969083592</v>
      </c>
      <c r="AX689" s="65">
        <f t="shared" si="876"/>
        <v>13426.834399221521</v>
      </c>
      <c r="AY689" s="65">
        <f t="shared" si="877"/>
        <v>0</v>
      </c>
      <c r="AZ689" s="65">
        <f t="shared" si="878"/>
        <v>7810.4890575464724</v>
      </c>
      <c r="BB689" s="64"/>
      <c r="BC689" s="66"/>
      <c r="BD689" s="66"/>
      <c r="BE689" s="66"/>
    </row>
    <row r="690" spans="2:57" ht="21" customHeight="1" x14ac:dyDescent="0.2">
      <c r="B690" s="51">
        <v>22</v>
      </c>
      <c r="C690" s="73" t="s">
        <v>42</v>
      </c>
      <c r="D690" s="67">
        <v>19030</v>
      </c>
      <c r="E690" s="72" t="s">
        <v>906</v>
      </c>
      <c r="F690" s="72" t="s">
        <v>901</v>
      </c>
      <c r="G690" s="55">
        <v>41447</v>
      </c>
      <c r="H690" s="56" t="str">
        <f t="shared" si="879"/>
        <v>11 AÑOS</v>
      </c>
      <c r="I690" s="57">
        <v>9070.1517297780483</v>
      </c>
      <c r="J690" s="58"/>
      <c r="K690" s="58"/>
      <c r="L690" s="59"/>
      <c r="M690" s="60">
        <v>4.0000000000000002E-4</v>
      </c>
      <c r="N690" s="61">
        <f t="shared" si="851"/>
        <v>362.80606919112194</v>
      </c>
      <c r="O690" s="58">
        <f t="shared" si="852"/>
        <v>9432.9577989691697</v>
      </c>
      <c r="P690" s="61">
        <f t="shared" si="802"/>
        <v>18865.915597938339</v>
      </c>
      <c r="Q690" s="61">
        <f t="shared" si="803"/>
        <v>14149.436698453756</v>
      </c>
      <c r="R690" s="61">
        <f t="shared" si="804"/>
        <v>4716.4788994845849</v>
      </c>
      <c r="S690" s="61">
        <f t="shared" si="805"/>
        <v>628.86385326461129</v>
      </c>
      <c r="T690" s="58">
        <f t="shared" si="806"/>
        <v>721.87281716244729</v>
      </c>
      <c r="U690" s="61">
        <f t="shared" si="807"/>
        <v>7074.7183492268778</v>
      </c>
      <c r="V690" s="58">
        <f t="shared" si="808"/>
        <v>2358.2394497422924</v>
      </c>
      <c r="W690" s="62">
        <v>0</v>
      </c>
      <c r="X690" s="63">
        <f t="shared" si="853"/>
        <v>0</v>
      </c>
      <c r="Y690" s="61">
        <v>1415.2799523629128</v>
      </c>
      <c r="Z690" s="61">
        <v>0</v>
      </c>
      <c r="AA690" s="61">
        <f t="shared" si="854"/>
        <v>2358.2394497422924</v>
      </c>
      <c r="AB690" s="61">
        <f t="shared" si="855"/>
        <v>471.6478899484585</v>
      </c>
      <c r="AC690" s="61">
        <v>2860.6424053071373</v>
      </c>
      <c r="AD690" s="81">
        <v>1892.0647474236325</v>
      </c>
      <c r="AE690" s="61">
        <v>1118.9028666017934</v>
      </c>
      <c r="AF690" s="61">
        <v>0</v>
      </c>
      <c r="AG690" s="61">
        <f t="shared" si="856"/>
        <v>650.8740881288727</v>
      </c>
      <c r="AH690" s="64"/>
      <c r="AI690" s="64"/>
      <c r="AJ690" s="51">
        <v>22</v>
      </c>
      <c r="AK690" s="73" t="s">
        <v>42</v>
      </c>
      <c r="AL690" s="67">
        <v>19030</v>
      </c>
      <c r="AM690" s="72" t="s">
        <v>906</v>
      </c>
      <c r="AN690" s="72" t="s">
        <v>901</v>
      </c>
      <c r="AO690" s="65">
        <f t="shared" si="867"/>
        <v>169793.24038144507</v>
      </c>
      <c r="AP690" s="65">
        <f t="shared" si="868"/>
        <v>56597.746793815022</v>
      </c>
      <c r="AQ690" s="65">
        <f t="shared" si="869"/>
        <v>0</v>
      </c>
      <c r="AR690" s="65">
        <f t="shared" si="870"/>
        <v>16983.359428354954</v>
      </c>
      <c r="AS690" s="65">
        <f t="shared" si="871"/>
        <v>0</v>
      </c>
      <c r="AT690" s="65">
        <f t="shared" si="872"/>
        <v>28298.873396907511</v>
      </c>
      <c r="AU690" s="65">
        <f t="shared" si="873"/>
        <v>5659.7746793815022</v>
      </c>
      <c r="AV690" s="65">
        <f t="shared" si="874"/>
        <v>34327.70886368565</v>
      </c>
      <c r="AW690" s="65">
        <f t="shared" si="875"/>
        <v>22704.776969083592</v>
      </c>
      <c r="AX690" s="65">
        <f t="shared" si="876"/>
        <v>13426.834399221521</v>
      </c>
      <c r="AY690" s="65">
        <f t="shared" si="877"/>
        <v>0</v>
      </c>
      <c r="AZ690" s="65">
        <f t="shared" si="878"/>
        <v>7810.4890575464724</v>
      </c>
      <c r="BB690" s="64"/>
      <c r="BC690" s="66"/>
      <c r="BD690" s="66"/>
      <c r="BE690" s="66"/>
    </row>
    <row r="691" spans="2:57" ht="21" customHeight="1" x14ac:dyDescent="0.2">
      <c r="B691" s="51">
        <v>23</v>
      </c>
      <c r="C691" s="73" t="s">
        <v>42</v>
      </c>
      <c r="D691" s="67">
        <v>16466</v>
      </c>
      <c r="E691" s="72" t="s">
        <v>907</v>
      </c>
      <c r="F691" s="72" t="s">
        <v>901</v>
      </c>
      <c r="G691" s="55">
        <v>43435</v>
      </c>
      <c r="H691" s="56" t="str">
        <f t="shared" si="879"/>
        <v>6 AÑOS</v>
      </c>
      <c r="I691" s="57">
        <v>9070.1517297780483</v>
      </c>
      <c r="J691" s="58"/>
      <c r="K691" s="58"/>
      <c r="L691" s="59"/>
      <c r="M691" s="60">
        <v>4.0000000000000002E-4</v>
      </c>
      <c r="N691" s="61">
        <f t="shared" si="851"/>
        <v>362.80606919112194</v>
      </c>
      <c r="O691" s="58">
        <f t="shared" si="852"/>
        <v>9432.9577989691697</v>
      </c>
      <c r="P691" s="61">
        <f t="shared" si="802"/>
        <v>18865.915597938339</v>
      </c>
      <c r="Q691" s="61">
        <f t="shared" si="803"/>
        <v>14149.436698453756</v>
      </c>
      <c r="R691" s="61">
        <f t="shared" si="804"/>
        <v>4716.4788994845849</v>
      </c>
      <c r="S691" s="61">
        <f t="shared" si="805"/>
        <v>628.86385326461129</v>
      </c>
      <c r="T691" s="58">
        <f t="shared" si="806"/>
        <v>721.87281716244729</v>
      </c>
      <c r="U691" s="61">
        <f t="shared" si="807"/>
        <v>7074.7183492268778</v>
      </c>
      <c r="V691" s="58">
        <f t="shared" si="808"/>
        <v>2358.2394497422924</v>
      </c>
      <c r="W691" s="62">
        <v>0</v>
      </c>
      <c r="X691" s="63">
        <f t="shared" si="853"/>
        <v>0</v>
      </c>
      <c r="Y691" s="61">
        <v>1415.2799523629128</v>
      </c>
      <c r="Z691" s="61">
        <v>0</v>
      </c>
      <c r="AA691" s="61">
        <f t="shared" si="854"/>
        <v>2358.2394497422924</v>
      </c>
      <c r="AB691" s="61">
        <f t="shared" si="855"/>
        <v>471.6478899484585</v>
      </c>
      <c r="AC691" s="61">
        <v>2860.6424053071373</v>
      </c>
      <c r="AD691" s="81">
        <v>1892.0647474236325</v>
      </c>
      <c r="AE691" s="61">
        <v>1118.9028666017934</v>
      </c>
      <c r="AF691" s="61">
        <v>0</v>
      </c>
      <c r="AG691" s="61">
        <f t="shared" si="856"/>
        <v>650.8740881288727</v>
      </c>
      <c r="AH691" s="64"/>
      <c r="AI691" s="64"/>
      <c r="AJ691" s="51">
        <v>23</v>
      </c>
      <c r="AK691" s="73" t="s">
        <v>42</v>
      </c>
      <c r="AL691" s="67">
        <v>16466</v>
      </c>
      <c r="AM691" s="72" t="s">
        <v>907</v>
      </c>
      <c r="AN691" s="72" t="s">
        <v>901</v>
      </c>
      <c r="AO691" s="65">
        <f t="shared" si="867"/>
        <v>169793.24038144507</v>
      </c>
      <c r="AP691" s="65">
        <f t="shared" si="868"/>
        <v>56597.746793815022</v>
      </c>
      <c r="AQ691" s="65">
        <f t="shared" si="869"/>
        <v>0</v>
      </c>
      <c r="AR691" s="65">
        <f t="shared" si="870"/>
        <v>16983.359428354954</v>
      </c>
      <c r="AS691" s="65">
        <f t="shared" si="871"/>
        <v>0</v>
      </c>
      <c r="AT691" s="65">
        <f t="shared" si="872"/>
        <v>28298.873396907511</v>
      </c>
      <c r="AU691" s="65">
        <f t="shared" si="873"/>
        <v>5659.7746793815022</v>
      </c>
      <c r="AV691" s="65">
        <f t="shared" si="874"/>
        <v>34327.70886368565</v>
      </c>
      <c r="AW691" s="65">
        <f t="shared" si="875"/>
        <v>22704.776969083592</v>
      </c>
      <c r="AX691" s="65">
        <f t="shared" si="876"/>
        <v>13426.834399221521</v>
      </c>
      <c r="AY691" s="65">
        <f t="shared" si="877"/>
        <v>0</v>
      </c>
      <c r="AZ691" s="65">
        <f t="shared" si="878"/>
        <v>7810.4890575464724</v>
      </c>
      <c r="BB691" s="64"/>
      <c r="BC691" s="66"/>
      <c r="BD691" s="66"/>
      <c r="BE691" s="66"/>
    </row>
    <row r="692" spans="2:57" ht="21" customHeight="1" x14ac:dyDescent="0.2">
      <c r="B692" s="51">
        <v>24</v>
      </c>
      <c r="C692" s="73" t="s">
        <v>42</v>
      </c>
      <c r="D692" s="67">
        <v>16366</v>
      </c>
      <c r="E692" s="72" t="s">
        <v>908</v>
      </c>
      <c r="F692" s="72" t="s">
        <v>901</v>
      </c>
      <c r="G692" s="55">
        <v>41640</v>
      </c>
      <c r="H692" s="56" t="str">
        <f t="shared" si="879"/>
        <v>10 AÑOS</v>
      </c>
      <c r="I692" s="57">
        <v>9070.1517297780483</v>
      </c>
      <c r="J692" s="58"/>
      <c r="K692" s="58"/>
      <c r="L692" s="59"/>
      <c r="M692" s="60">
        <v>4.0000000000000002E-4</v>
      </c>
      <c r="N692" s="61">
        <f t="shared" si="851"/>
        <v>362.80606919112194</v>
      </c>
      <c r="O692" s="58">
        <f t="shared" si="852"/>
        <v>9432.9577989691697</v>
      </c>
      <c r="P692" s="61">
        <f t="shared" si="802"/>
        <v>18865.915597938339</v>
      </c>
      <c r="Q692" s="61">
        <f t="shared" si="803"/>
        <v>14149.436698453756</v>
      </c>
      <c r="R692" s="61">
        <f t="shared" si="804"/>
        <v>4716.4788994845849</v>
      </c>
      <c r="S692" s="61">
        <f t="shared" si="805"/>
        <v>628.86385326461129</v>
      </c>
      <c r="T692" s="58">
        <f t="shared" si="806"/>
        <v>721.87281716244729</v>
      </c>
      <c r="U692" s="61">
        <f t="shared" si="807"/>
        <v>7074.7183492268778</v>
      </c>
      <c r="V692" s="58">
        <f t="shared" si="808"/>
        <v>2358.2394497422924</v>
      </c>
      <c r="W692" s="62">
        <v>0</v>
      </c>
      <c r="X692" s="63">
        <f t="shared" si="853"/>
        <v>0</v>
      </c>
      <c r="Y692" s="61">
        <v>1415.2799523629128</v>
      </c>
      <c r="Z692" s="61">
        <v>0</v>
      </c>
      <c r="AA692" s="61">
        <f t="shared" si="854"/>
        <v>2358.2394497422924</v>
      </c>
      <c r="AB692" s="61">
        <f t="shared" si="855"/>
        <v>471.6478899484585</v>
      </c>
      <c r="AC692" s="61">
        <v>2860.6424053071373</v>
      </c>
      <c r="AD692" s="81">
        <v>1892.0647474236325</v>
      </c>
      <c r="AE692" s="61">
        <v>1118.9028666017934</v>
      </c>
      <c r="AF692" s="61">
        <v>0</v>
      </c>
      <c r="AG692" s="61">
        <f t="shared" si="856"/>
        <v>650.8740881288727</v>
      </c>
      <c r="AH692" s="64"/>
      <c r="AI692" s="64"/>
      <c r="AJ692" s="51">
        <v>24</v>
      </c>
      <c r="AK692" s="73" t="s">
        <v>42</v>
      </c>
      <c r="AL692" s="67">
        <v>16366</v>
      </c>
      <c r="AM692" s="72" t="s">
        <v>908</v>
      </c>
      <c r="AN692" s="72" t="s">
        <v>901</v>
      </c>
      <c r="AO692" s="65">
        <f t="shared" si="867"/>
        <v>169793.24038144507</v>
      </c>
      <c r="AP692" s="65">
        <f t="shared" si="868"/>
        <v>56597.746793815022</v>
      </c>
      <c r="AQ692" s="65">
        <f t="shared" si="869"/>
        <v>0</v>
      </c>
      <c r="AR692" s="65">
        <f t="shared" si="870"/>
        <v>16983.359428354954</v>
      </c>
      <c r="AS692" s="65">
        <f t="shared" si="871"/>
        <v>0</v>
      </c>
      <c r="AT692" s="65">
        <f t="shared" si="872"/>
        <v>28298.873396907511</v>
      </c>
      <c r="AU692" s="65">
        <f t="shared" si="873"/>
        <v>5659.7746793815022</v>
      </c>
      <c r="AV692" s="65">
        <f t="shared" si="874"/>
        <v>34327.70886368565</v>
      </c>
      <c r="AW692" s="65">
        <f t="shared" si="875"/>
        <v>22704.776969083592</v>
      </c>
      <c r="AX692" s="65">
        <f t="shared" si="876"/>
        <v>13426.834399221521</v>
      </c>
      <c r="AY692" s="65">
        <f t="shared" si="877"/>
        <v>0</v>
      </c>
      <c r="AZ692" s="65">
        <f t="shared" si="878"/>
        <v>7810.4890575464724</v>
      </c>
      <c r="BB692" s="64"/>
      <c r="BC692" s="66"/>
      <c r="BD692" s="66"/>
      <c r="BE692" s="66"/>
    </row>
    <row r="693" spans="2:57" ht="21" customHeight="1" x14ac:dyDescent="0.2">
      <c r="B693" s="51">
        <v>25</v>
      </c>
      <c r="C693" s="73" t="s">
        <v>42</v>
      </c>
      <c r="D693" s="67">
        <v>16367</v>
      </c>
      <c r="E693" s="72" t="s">
        <v>909</v>
      </c>
      <c r="F693" s="72" t="s">
        <v>901</v>
      </c>
      <c r="G693" s="55">
        <v>41640</v>
      </c>
      <c r="H693" s="56" t="str">
        <f t="shared" si="879"/>
        <v>10 AÑOS</v>
      </c>
      <c r="I693" s="57">
        <v>9070.1517297780483</v>
      </c>
      <c r="J693" s="58"/>
      <c r="K693" s="58"/>
      <c r="L693" s="59"/>
      <c r="M693" s="60">
        <v>4.0000000000000002E-4</v>
      </c>
      <c r="N693" s="61">
        <f t="shared" si="851"/>
        <v>362.80606919112194</v>
      </c>
      <c r="O693" s="58">
        <f t="shared" si="852"/>
        <v>9432.9577989691697</v>
      </c>
      <c r="P693" s="61">
        <f t="shared" si="802"/>
        <v>18865.915597938339</v>
      </c>
      <c r="Q693" s="61">
        <f t="shared" si="803"/>
        <v>14149.436698453756</v>
      </c>
      <c r="R693" s="61">
        <f t="shared" si="804"/>
        <v>4716.4788994845849</v>
      </c>
      <c r="S693" s="61">
        <f t="shared" si="805"/>
        <v>628.86385326461129</v>
      </c>
      <c r="T693" s="58">
        <f t="shared" si="806"/>
        <v>721.87281716244729</v>
      </c>
      <c r="U693" s="61">
        <f t="shared" si="807"/>
        <v>7074.7183492268778</v>
      </c>
      <c r="V693" s="58">
        <f t="shared" si="808"/>
        <v>2358.2394497422924</v>
      </c>
      <c r="W693" s="62">
        <v>0</v>
      </c>
      <c r="X693" s="63">
        <f t="shared" si="853"/>
        <v>0</v>
      </c>
      <c r="Y693" s="61">
        <v>1415.2799523629128</v>
      </c>
      <c r="Z693" s="61">
        <v>0</v>
      </c>
      <c r="AA693" s="61">
        <f t="shared" si="854"/>
        <v>2358.2394497422924</v>
      </c>
      <c r="AB693" s="61">
        <f t="shared" si="855"/>
        <v>471.6478899484585</v>
      </c>
      <c r="AC693" s="61">
        <v>2860.6424053071373</v>
      </c>
      <c r="AD693" s="81">
        <v>1892.0647474236325</v>
      </c>
      <c r="AE693" s="61">
        <v>1118.9028666017934</v>
      </c>
      <c r="AF693" s="61">
        <v>0</v>
      </c>
      <c r="AG693" s="61">
        <f t="shared" si="856"/>
        <v>650.8740881288727</v>
      </c>
      <c r="AH693" s="64"/>
      <c r="AI693" s="64"/>
      <c r="AJ693" s="51">
        <v>25</v>
      </c>
      <c r="AK693" s="73" t="s">
        <v>42</v>
      </c>
      <c r="AL693" s="67">
        <v>16367</v>
      </c>
      <c r="AM693" s="72" t="s">
        <v>909</v>
      </c>
      <c r="AN693" s="72" t="s">
        <v>901</v>
      </c>
      <c r="AO693" s="65">
        <f t="shared" si="867"/>
        <v>169793.24038144507</v>
      </c>
      <c r="AP693" s="65">
        <f t="shared" si="868"/>
        <v>56597.746793815022</v>
      </c>
      <c r="AQ693" s="65">
        <f t="shared" si="869"/>
        <v>0</v>
      </c>
      <c r="AR693" s="65">
        <f t="shared" si="870"/>
        <v>16983.359428354954</v>
      </c>
      <c r="AS693" s="65">
        <f t="shared" si="871"/>
        <v>0</v>
      </c>
      <c r="AT693" s="65">
        <f t="shared" si="872"/>
        <v>28298.873396907511</v>
      </c>
      <c r="AU693" s="65">
        <f t="shared" si="873"/>
        <v>5659.7746793815022</v>
      </c>
      <c r="AV693" s="65">
        <f t="shared" si="874"/>
        <v>34327.70886368565</v>
      </c>
      <c r="AW693" s="65">
        <f t="shared" si="875"/>
        <v>22704.776969083592</v>
      </c>
      <c r="AX693" s="65">
        <f t="shared" si="876"/>
        <v>13426.834399221521</v>
      </c>
      <c r="AY693" s="65">
        <f t="shared" si="877"/>
        <v>0</v>
      </c>
      <c r="AZ693" s="65">
        <f t="shared" si="878"/>
        <v>7810.4890575464724</v>
      </c>
      <c r="BB693" s="64"/>
      <c r="BC693" s="66"/>
      <c r="BD693" s="66"/>
      <c r="BE693" s="66"/>
    </row>
    <row r="694" spans="2:57" ht="21" customHeight="1" x14ac:dyDescent="0.2">
      <c r="B694" s="51">
        <v>26</v>
      </c>
      <c r="C694" s="73" t="s">
        <v>42</v>
      </c>
      <c r="D694" s="67">
        <v>16505</v>
      </c>
      <c r="E694" s="73" t="s">
        <v>910</v>
      </c>
      <c r="F694" s="72" t="s">
        <v>901</v>
      </c>
      <c r="G694" s="169">
        <v>43497</v>
      </c>
      <c r="H694" s="56" t="str">
        <f t="shared" si="879"/>
        <v>5 AÑOS</v>
      </c>
      <c r="I694" s="57">
        <v>9070.1517297780483</v>
      </c>
      <c r="J694" s="58"/>
      <c r="K694" s="58"/>
      <c r="L694" s="59"/>
      <c r="M694" s="60">
        <v>4.0000000000000002E-4</v>
      </c>
      <c r="N694" s="61">
        <f t="shared" si="851"/>
        <v>362.80606919112194</v>
      </c>
      <c r="O694" s="58">
        <f t="shared" si="852"/>
        <v>9432.9577989691697</v>
      </c>
      <c r="P694" s="61">
        <f t="shared" si="802"/>
        <v>18865.915597938339</v>
      </c>
      <c r="Q694" s="61">
        <f t="shared" si="803"/>
        <v>14149.436698453756</v>
      </c>
      <c r="R694" s="61">
        <f t="shared" si="804"/>
        <v>4716.4788994845849</v>
      </c>
      <c r="S694" s="61">
        <f t="shared" si="805"/>
        <v>628.86385326461129</v>
      </c>
      <c r="T694" s="58">
        <f t="shared" si="806"/>
        <v>721.87281716244729</v>
      </c>
      <c r="U694" s="61">
        <f t="shared" si="807"/>
        <v>7074.7183492268778</v>
      </c>
      <c r="V694" s="58">
        <f t="shared" si="808"/>
        <v>2358.2394497422924</v>
      </c>
      <c r="W694" s="62">
        <v>0</v>
      </c>
      <c r="X694" s="63">
        <f t="shared" si="853"/>
        <v>0</v>
      </c>
      <c r="Y694" s="61">
        <v>1415.2799523629128</v>
      </c>
      <c r="Z694" s="61">
        <v>0</v>
      </c>
      <c r="AA694" s="61">
        <f t="shared" si="854"/>
        <v>2358.2394497422924</v>
      </c>
      <c r="AB694" s="61">
        <f t="shared" si="855"/>
        <v>471.6478899484585</v>
      </c>
      <c r="AC694" s="61">
        <v>2860.6424053071373</v>
      </c>
      <c r="AD694" s="81">
        <v>1892.0647474236325</v>
      </c>
      <c r="AE694" s="61">
        <v>1118.9028666017934</v>
      </c>
      <c r="AF694" s="61">
        <v>0</v>
      </c>
      <c r="AG694" s="61">
        <f t="shared" si="856"/>
        <v>650.8740881288727</v>
      </c>
      <c r="AH694" s="64"/>
      <c r="AI694" s="64"/>
      <c r="AJ694" s="51">
        <v>26</v>
      </c>
      <c r="AK694" s="73" t="s">
        <v>42</v>
      </c>
      <c r="AL694" s="67">
        <v>16505</v>
      </c>
      <c r="AM694" s="73" t="s">
        <v>910</v>
      </c>
      <c r="AN694" s="72" t="s">
        <v>901</v>
      </c>
      <c r="AO694" s="65">
        <f t="shared" si="867"/>
        <v>169793.24038144507</v>
      </c>
      <c r="AP694" s="65">
        <f t="shared" si="868"/>
        <v>56597.746793815022</v>
      </c>
      <c r="AQ694" s="65">
        <f t="shared" si="869"/>
        <v>0</v>
      </c>
      <c r="AR694" s="65">
        <f t="shared" si="870"/>
        <v>16983.359428354954</v>
      </c>
      <c r="AS694" s="65">
        <f t="shared" si="871"/>
        <v>0</v>
      </c>
      <c r="AT694" s="65">
        <f t="shared" si="872"/>
        <v>28298.873396907511</v>
      </c>
      <c r="AU694" s="65">
        <f t="shared" si="873"/>
        <v>5659.7746793815022</v>
      </c>
      <c r="AV694" s="65">
        <f t="shared" si="874"/>
        <v>34327.70886368565</v>
      </c>
      <c r="AW694" s="65">
        <f t="shared" si="875"/>
        <v>22704.776969083592</v>
      </c>
      <c r="AX694" s="65">
        <f t="shared" si="876"/>
        <v>13426.834399221521</v>
      </c>
      <c r="AY694" s="65">
        <f t="shared" si="877"/>
        <v>0</v>
      </c>
      <c r="AZ694" s="65">
        <f t="shared" si="878"/>
        <v>7810.4890575464724</v>
      </c>
      <c r="BB694" s="64"/>
      <c r="BC694" s="66"/>
      <c r="BD694" s="66"/>
      <c r="BE694" s="66"/>
    </row>
    <row r="695" spans="2:57" ht="21" customHeight="1" x14ac:dyDescent="0.2">
      <c r="B695" s="51">
        <v>27</v>
      </c>
      <c r="C695" s="73" t="s">
        <v>42</v>
      </c>
      <c r="D695" s="67">
        <v>16320</v>
      </c>
      <c r="E695" s="72" t="s">
        <v>911</v>
      </c>
      <c r="F695" s="72" t="s">
        <v>901</v>
      </c>
      <c r="G695" s="55">
        <v>41015</v>
      </c>
      <c r="H695" s="56" t="str">
        <f t="shared" si="879"/>
        <v>12 AÑOS</v>
      </c>
      <c r="I695" s="57">
        <v>9070.1517297780483</v>
      </c>
      <c r="J695" s="58"/>
      <c r="K695" s="58"/>
      <c r="L695" s="59"/>
      <c r="M695" s="60">
        <v>4.0000000000000002E-4</v>
      </c>
      <c r="N695" s="61">
        <f t="shared" si="851"/>
        <v>362.80606919112194</v>
      </c>
      <c r="O695" s="58">
        <f t="shared" si="852"/>
        <v>9432.9577989691697</v>
      </c>
      <c r="P695" s="61">
        <f t="shared" si="802"/>
        <v>18865.915597938339</v>
      </c>
      <c r="Q695" s="61">
        <f t="shared" si="803"/>
        <v>14149.436698453756</v>
      </c>
      <c r="R695" s="61">
        <f t="shared" si="804"/>
        <v>4716.4788994845849</v>
      </c>
      <c r="S695" s="61">
        <f t="shared" si="805"/>
        <v>628.86385326461129</v>
      </c>
      <c r="T695" s="58">
        <f t="shared" si="806"/>
        <v>721.87281716244729</v>
      </c>
      <c r="U695" s="61">
        <f t="shared" si="807"/>
        <v>7074.7183492268778</v>
      </c>
      <c r="V695" s="58">
        <f t="shared" si="808"/>
        <v>2358.2394497422924</v>
      </c>
      <c r="W695" s="62">
        <v>0</v>
      </c>
      <c r="X695" s="63">
        <f t="shared" si="853"/>
        <v>0</v>
      </c>
      <c r="Y695" s="61">
        <v>1415.2799523629128</v>
      </c>
      <c r="Z695" s="61">
        <v>0</v>
      </c>
      <c r="AA695" s="61">
        <f t="shared" si="854"/>
        <v>2358.2394497422924</v>
      </c>
      <c r="AB695" s="61">
        <f t="shared" si="855"/>
        <v>471.6478899484585</v>
      </c>
      <c r="AC695" s="61">
        <v>2860.6424053071373</v>
      </c>
      <c r="AD695" s="81">
        <v>1892.0647474236325</v>
      </c>
      <c r="AE695" s="61">
        <v>1118.9028666017934</v>
      </c>
      <c r="AF695" s="61">
        <v>0</v>
      </c>
      <c r="AG695" s="61">
        <f t="shared" si="856"/>
        <v>650.8740881288727</v>
      </c>
      <c r="AH695" s="64"/>
      <c r="AI695" s="64"/>
      <c r="AJ695" s="51">
        <v>27</v>
      </c>
      <c r="AK695" s="73" t="s">
        <v>42</v>
      </c>
      <c r="AL695" s="67">
        <v>16320</v>
      </c>
      <c r="AM695" s="72" t="s">
        <v>911</v>
      </c>
      <c r="AN695" s="72" t="s">
        <v>901</v>
      </c>
      <c r="AO695" s="65">
        <f t="shared" si="867"/>
        <v>169793.24038144507</v>
      </c>
      <c r="AP695" s="65">
        <f t="shared" si="868"/>
        <v>56597.746793815022</v>
      </c>
      <c r="AQ695" s="65">
        <f t="shared" si="869"/>
        <v>0</v>
      </c>
      <c r="AR695" s="65">
        <f t="shared" si="870"/>
        <v>16983.359428354954</v>
      </c>
      <c r="AS695" s="65">
        <f t="shared" si="871"/>
        <v>0</v>
      </c>
      <c r="AT695" s="65">
        <f t="shared" si="872"/>
        <v>28298.873396907511</v>
      </c>
      <c r="AU695" s="65">
        <f t="shared" si="873"/>
        <v>5659.7746793815022</v>
      </c>
      <c r="AV695" s="65">
        <f t="shared" si="874"/>
        <v>34327.70886368565</v>
      </c>
      <c r="AW695" s="65">
        <f t="shared" si="875"/>
        <v>22704.776969083592</v>
      </c>
      <c r="AX695" s="65">
        <f t="shared" si="876"/>
        <v>13426.834399221521</v>
      </c>
      <c r="AY695" s="65">
        <f t="shared" si="877"/>
        <v>0</v>
      </c>
      <c r="AZ695" s="65">
        <f t="shared" si="878"/>
        <v>7810.4890575464724</v>
      </c>
      <c r="BB695" s="64"/>
      <c r="BC695" s="66"/>
      <c r="BD695" s="66"/>
      <c r="BE695" s="66"/>
    </row>
    <row r="696" spans="2:57" ht="21" customHeight="1" x14ac:dyDescent="0.2">
      <c r="B696" s="51">
        <v>28</v>
      </c>
      <c r="C696" s="73" t="s">
        <v>42</v>
      </c>
      <c r="D696" s="67">
        <v>16279</v>
      </c>
      <c r="E696" s="72" t="s">
        <v>912</v>
      </c>
      <c r="F696" s="72" t="s">
        <v>901</v>
      </c>
      <c r="G696" s="55">
        <v>39234</v>
      </c>
      <c r="H696" s="55" t="str">
        <f t="shared" si="879"/>
        <v>17 AÑOS</v>
      </c>
      <c r="I696" s="57">
        <v>9070.1517297780483</v>
      </c>
      <c r="J696" s="57"/>
      <c r="K696" s="57"/>
      <c r="L696" s="74"/>
      <c r="M696" s="171">
        <v>4.0000000000000002E-4</v>
      </c>
      <c r="N696" s="81">
        <f t="shared" si="851"/>
        <v>362.80606919112194</v>
      </c>
      <c r="O696" s="57">
        <f t="shared" si="852"/>
        <v>9432.9577989691697</v>
      </c>
      <c r="P696" s="81">
        <f t="shared" si="802"/>
        <v>18865.915597938339</v>
      </c>
      <c r="Q696" s="81">
        <f t="shared" si="803"/>
        <v>14149.436698453756</v>
      </c>
      <c r="R696" s="81">
        <f t="shared" si="804"/>
        <v>4716.4788994845849</v>
      </c>
      <c r="S696" s="81">
        <f t="shared" si="805"/>
        <v>628.86385326461129</v>
      </c>
      <c r="T696" s="57">
        <f t="shared" si="806"/>
        <v>721.87281716244729</v>
      </c>
      <c r="U696" s="81">
        <f t="shared" si="807"/>
        <v>7074.7183492268778</v>
      </c>
      <c r="V696" s="57">
        <f t="shared" si="808"/>
        <v>2358.2394497422924</v>
      </c>
      <c r="W696" s="101">
        <v>0</v>
      </c>
      <c r="X696" s="158">
        <f t="shared" si="853"/>
        <v>0</v>
      </c>
      <c r="Y696" s="81">
        <v>1415.2799523629128</v>
      </c>
      <c r="Z696" s="81">
        <v>0</v>
      </c>
      <c r="AA696" s="81">
        <f t="shared" si="854"/>
        <v>2358.2394497422924</v>
      </c>
      <c r="AB696" s="81">
        <f t="shared" si="855"/>
        <v>471.6478899484585</v>
      </c>
      <c r="AC696" s="81">
        <v>2860.6424053071373</v>
      </c>
      <c r="AD696" s="81">
        <v>1892.0647474236325</v>
      </c>
      <c r="AE696" s="81">
        <v>1118.9028666017934</v>
      </c>
      <c r="AF696" s="81">
        <v>0</v>
      </c>
      <c r="AG696" s="81">
        <f t="shared" si="856"/>
        <v>650.8740881288727</v>
      </c>
      <c r="AH696" s="64"/>
      <c r="AI696" s="64"/>
      <c r="AJ696" s="51">
        <v>28</v>
      </c>
      <c r="AK696" s="73" t="s">
        <v>42</v>
      </c>
      <c r="AL696" s="67">
        <v>16279</v>
      </c>
      <c r="AM696" s="72" t="s">
        <v>912</v>
      </c>
      <c r="AN696" s="72" t="s">
        <v>901</v>
      </c>
      <c r="AO696" s="159">
        <f t="shared" si="867"/>
        <v>169793.24038144507</v>
      </c>
      <c r="AP696" s="159">
        <f t="shared" si="868"/>
        <v>56597.746793815022</v>
      </c>
      <c r="AQ696" s="159">
        <f t="shared" si="869"/>
        <v>0</v>
      </c>
      <c r="AR696" s="159">
        <f t="shared" si="870"/>
        <v>16983.359428354954</v>
      </c>
      <c r="AS696" s="159">
        <f t="shared" si="871"/>
        <v>0</v>
      </c>
      <c r="AT696" s="159">
        <f t="shared" si="872"/>
        <v>28298.873396907511</v>
      </c>
      <c r="AU696" s="159">
        <f t="shared" si="873"/>
        <v>5659.7746793815022</v>
      </c>
      <c r="AV696" s="159">
        <f t="shared" si="874"/>
        <v>34327.70886368565</v>
      </c>
      <c r="AW696" s="159">
        <f t="shared" si="875"/>
        <v>22704.776969083592</v>
      </c>
      <c r="AX696" s="159">
        <f t="shared" si="876"/>
        <v>13426.834399221521</v>
      </c>
      <c r="AY696" s="159">
        <f t="shared" si="877"/>
        <v>0</v>
      </c>
      <c r="AZ696" s="159">
        <f t="shared" si="878"/>
        <v>7810.4890575464724</v>
      </c>
      <c r="BB696" s="64"/>
      <c r="BC696" s="66"/>
      <c r="BD696" s="66"/>
      <c r="BE696" s="66"/>
    </row>
    <row r="697" spans="2:57" ht="21" customHeight="1" x14ac:dyDescent="0.2">
      <c r="B697" s="51">
        <v>29</v>
      </c>
      <c r="C697" s="73" t="s">
        <v>42</v>
      </c>
      <c r="D697" s="67">
        <v>16321</v>
      </c>
      <c r="E697" s="72" t="s">
        <v>913</v>
      </c>
      <c r="F697" s="72" t="s">
        <v>901</v>
      </c>
      <c r="G697" s="55">
        <v>41015</v>
      </c>
      <c r="H697" s="56" t="str">
        <f t="shared" si="879"/>
        <v>12 AÑOS</v>
      </c>
      <c r="I697" s="57">
        <v>9070.1517297780483</v>
      </c>
      <c r="J697" s="58"/>
      <c r="K697" s="58"/>
      <c r="L697" s="59"/>
      <c r="M697" s="60">
        <v>4.0000000000000002E-4</v>
      </c>
      <c r="N697" s="61">
        <f t="shared" si="851"/>
        <v>362.80606919112194</v>
      </c>
      <c r="O697" s="58">
        <f t="shared" si="852"/>
        <v>9432.9577989691697</v>
      </c>
      <c r="P697" s="61">
        <f t="shared" si="802"/>
        <v>18865.915597938339</v>
      </c>
      <c r="Q697" s="61">
        <f t="shared" si="803"/>
        <v>14149.436698453756</v>
      </c>
      <c r="R697" s="61">
        <f t="shared" si="804"/>
        <v>4716.4788994845849</v>
      </c>
      <c r="S697" s="61">
        <f t="shared" si="805"/>
        <v>628.86385326461129</v>
      </c>
      <c r="T697" s="58">
        <f t="shared" si="806"/>
        <v>721.87281716244729</v>
      </c>
      <c r="U697" s="61">
        <f t="shared" si="807"/>
        <v>7074.7183492268778</v>
      </c>
      <c r="V697" s="58">
        <f t="shared" si="808"/>
        <v>2358.2394497422924</v>
      </c>
      <c r="W697" s="62">
        <v>0</v>
      </c>
      <c r="X697" s="63">
        <f t="shared" si="853"/>
        <v>0</v>
      </c>
      <c r="Y697" s="61">
        <v>1415.2799523629128</v>
      </c>
      <c r="Z697" s="61">
        <v>0</v>
      </c>
      <c r="AA697" s="61">
        <f t="shared" si="854"/>
        <v>2358.2394497422924</v>
      </c>
      <c r="AB697" s="61">
        <f t="shared" si="855"/>
        <v>471.6478899484585</v>
      </c>
      <c r="AC697" s="61">
        <v>2860.6424053071373</v>
      </c>
      <c r="AD697" s="81">
        <v>1892.0647474236325</v>
      </c>
      <c r="AE697" s="61">
        <v>1118.9028666017934</v>
      </c>
      <c r="AF697" s="61">
        <v>0</v>
      </c>
      <c r="AG697" s="61">
        <f t="shared" si="856"/>
        <v>650.8740881288727</v>
      </c>
      <c r="AH697" s="64"/>
      <c r="AI697" s="64"/>
      <c r="AJ697" s="51">
        <v>29</v>
      </c>
      <c r="AK697" s="73" t="s">
        <v>42</v>
      </c>
      <c r="AL697" s="67">
        <v>16321</v>
      </c>
      <c r="AM697" s="72" t="s">
        <v>913</v>
      </c>
      <c r="AN697" s="72" t="s">
        <v>901</v>
      </c>
      <c r="AO697" s="65">
        <f t="shared" si="867"/>
        <v>169793.24038144507</v>
      </c>
      <c r="AP697" s="65">
        <f t="shared" si="868"/>
        <v>56597.746793815022</v>
      </c>
      <c r="AQ697" s="65">
        <f t="shared" si="869"/>
        <v>0</v>
      </c>
      <c r="AR697" s="65">
        <f t="shared" si="870"/>
        <v>16983.359428354954</v>
      </c>
      <c r="AS697" s="65">
        <f t="shared" si="871"/>
        <v>0</v>
      </c>
      <c r="AT697" s="65">
        <f t="shared" si="872"/>
        <v>28298.873396907511</v>
      </c>
      <c r="AU697" s="65">
        <f t="shared" si="873"/>
        <v>5659.7746793815022</v>
      </c>
      <c r="AV697" s="65">
        <f t="shared" si="874"/>
        <v>34327.70886368565</v>
      </c>
      <c r="AW697" s="65">
        <f t="shared" si="875"/>
        <v>22704.776969083592</v>
      </c>
      <c r="AX697" s="65">
        <f t="shared" si="876"/>
        <v>13426.834399221521</v>
      </c>
      <c r="AY697" s="65">
        <f t="shared" si="877"/>
        <v>0</v>
      </c>
      <c r="AZ697" s="65">
        <f t="shared" si="878"/>
        <v>7810.4890575464724</v>
      </c>
      <c r="BB697" s="64"/>
      <c r="BC697" s="66"/>
      <c r="BD697" s="66"/>
      <c r="BE697" s="66"/>
    </row>
    <row r="698" spans="2:57" ht="21" customHeight="1" x14ac:dyDescent="0.2">
      <c r="B698" s="51">
        <v>30</v>
      </c>
      <c r="C698" s="73" t="s">
        <v>42</v>
      </c>
      <c r="D698" s="67">
        <v>16488</v>
      </c>
      <c r="E698" s="73" t="s">
        <v>914</v>
      </c>
      <c r="F698" s="72" t="s">
        <v>901</v>
      </c>
      <c r="G698" s="169">
        <v>43405</v>
      </c>
      <c r="H698" s="56" t="str">
        <f t="shared" si="879"/>
        <v>6 AÑOS</v>
      </c>
      <c r="I698" s="57">
        <v>9070.1517297780483</v>
      </c>
      <c r="J698" s="58"/>
      <c r="K698" s="58"/>
      <c r="L698" s="59"/>
      <c r="M698" s="60">
        <v>4.0000000000000002E-4</v>
      </c>
      <c r="N698" s="61">
        <f t="shared" si="851"/>
        <v>362.80606919112194</v>
      </c>
      <c r="O698" s="58">
        <f t="shared" si="852"/>
        <v>9432.9577989691697</v>
      </c>
      <c r="P698" s="61">
        <f t="shared" si="802"/>
        <v>18865.915597938339</v>
      </c>
      <c r="Q698" s="61">
        <f t="shared" si="803"/>
        <v>14149.436698453756</v>
      </c>
      <c r="R698" s="61">
        <f t="shared" si="804"/>
        <v>4716.4788994845849</v>
      </c>
      <c r="S698" s="61">
        <f t="shared" si="805"/>
        <v>628.86385326461129</v>
      </c>
      <c r="T698" s="58">
        <f t="shared" si="806"/>
        <v>721.87281716244729</v>
      </c>
      <c r="U698" s="61">
        <f t="shared" si="807"/>
        <v>7074.7183492268778</v>
      </c>
      <c r="V698" s="58">
        <f t="shared" si="808"/>
        <v>2358.2394497422924</v>
      </c>
      <c r="W698" s="62">
        <v>0</v>
      </c>
      <c r="X698" s="63">
        <f t="shared" si="853"/>
        <v>0</v>
      </c>
      <c r="Y698" s="61">
        <v>1415.2799523629128</v>
      </c>
      <c r="Z698" s="61">
        <v>0</v>
      </c>
      <c r="AA698" s="61">
        <f t="shared" si="854"/>
        <v>2358.2394497422924</v>
      </c>
      <c r="AB698" s="61">
        <f t="shared" si="855"/>
        <v>471.6478899484585</v>
      </c>
      <c r="AC698" s="61">
        <v>2860.6424053071373</v>
      </c>
      <c r="AD698" s="81">
        <v>1892.0647474236325</v>
      </c>
      <c r="AE698" s="61">
        <v>1118.9028666017934</v>
      </c>
      <c r="AF698" s="61">
        <v>0</v>
      </c>
      <c r="AG698" s="61">
        <f t="shared" si="856"/>
        <v>650.8740881288727</v>
      </c>
      <c r="AH698" s="64"/>
      <c r="AI698" s="64"/>
      <c r="AJ698" s="51">
        <v>30</v>
      </c>
      <c r="AK698" s="73" t="s">
        <v>42</v>
      </c>
      <c r="AL698" s="67">
        <v>16488</v>
      </c>
      <c r="AM698" s="73" t="s">
        <v>914</v>
      </c>
      <c r="AN698" s="72" t="s">
        <v>901</v>
      </c>
      <c r="AO698" s="65">
        <f t="shared" si="867"/>
        <v>169793.24038144507</v>
      </c>
      <c r="AP698" s="65">
        <f t="shared" si="868"/>
        <v>56597.746793815022</v>
      </c>
      <c r="AQ698" s="65">
        <f t="shared" si="869"/>
        <v>0</v>
      </c>
      <c r="AR698" s="65">
        <f t="shared" si="870"/>
        <v>16983.359428354954</v>
      </c>
      <c r="AS698" s="65">
        <f t="shared" si="871"/>
        <v>0</v>
      </c>
      <c r="AT698" s="65">
        <f t="shared" si="872"/>
        <v>28298.873396907511</v>
      </c>
      <c r="AU698" s="65">
        <f t="shared" si="873"/>
        <v>5659.7746793815022</v>
      </c>
      <c r="AV698" s="65">
        <f t="shared" si="874"/>
        <v>34327.70886368565</v>
      </c>
      <c r="AW698" s="65">
        <f t="shared" si="875"/>
        <v>22704.776969083592</v>
      </c>
      <c r="AX698" s="65">
        <f t="shared" si="876"/>
        <v>13426.834399221521</v>
      </c>
      <c r="AY698" s="65">
        <f t="shared" si="877"/>
        <v>0</v>
      </c>
      <c r="AZ698" s="65">
        <f t="shared" si="878"/>
        <v>7810.4890575464724</v>
      </c>
      <c r="BB698" s="64"/>
      <c r="BC698" s="66"/>
      <c r="BD698" s="66"/>
      <c r="BE698" s="66"/>
    </row>
    <row r="699" spans="2:57" ht="21" customHeight="1" x14ac:dyDescent="0.2">
      <c r="B699" s="51">
        <v>31</v>
      </c>
      <c r="C699" s="73" t="s">
        <v>42</v>
      </c>
      <c r="D699" s="67">
        <v>16009</v>
      </c>
      <c r="E699" s="72" t="s">
        <v>915</v>
      </c>
      <c r="F699" s="72" t="s">
        <v>901</v>
      </c>
      <c r="G699" s="55">
        <v>35299</v>
      </c>
      <c r="H699" s="56" t="str">
        <f t="shared" si="879"/>
        <v>28 AÑOS</v>
      </c>
      <c r="I699" s="57">
        <v>9070.1517297780483</v>
      </c>
      <c r="J699" s="58"/>
      <c r="K699" s="58"/>
      <c r="L699" s="59"/>
      <c r="M699" s="60">
        <v>4.0000000000000002E-4</v>
      </c>
      <c r="N699" s="61">
        <f t="shared" si="851"/>
        <v>362.80606919112194</v>
      </c>
      <c r="O699" s="58">
        <f t="shared" si="852"/>
        <v>9432.9577989691697</v>
      </c>
      <c r="P699" s="61">
        <f t="shared" si="802"/>
        <v>18865.915597938339</v>
      </c>
      <c r="Q699" s="61">
        <f t="shared" si="803"/>
        <v>14149.436698453756</v>
      </c>
      <c r="R699" s="61">
        <f t="shared" si="804"/>
        <v>4716.4788994845849</v>
      </c>
      <c r="S699" s="61">
        <f t="shared" si="805"/>
        <v>628.86385326461129</v>
      </c>
      <c r="T699" s="58">
        <f t="shared" si="806"/>
        <v>721.87281716244729</v>
      </c>
      <c r="U699" s="61">
        <f t="shared" si="807"/>
        <v>7074.7183492268778</v>
      </c>
      <c r="V699" s="58">
        <f t="shared" si="808"/>
        <v>2358.2394497422924</v>
      </c>
      <c r="W699" s="62">
        <v>0</v>
      </c>
      <c r="X699" s="63">
        <f t="shared" si="853"/>
        <v>0</v>
      </c>
      <c r="Y699" s="61">
        <v>1415.2799523629128</v>
      </c>
      <c r="Z699" s="61">
        <v>0</v>
      </c>
      <c r="AA699" s="61">
        <f t="shared" si="854"/>
        <v>2358.2394497422924</v>
      </c>
      <c r="AB699" s="61">
        <f t="shared" si="855"/>
        <v>471.6478899484585</v>
      </c>
      <c r="AC699" s="61">
        <v>2860.6424053071373</v>
      </c>
      <c r="AD699" s="81">
        <v>1892.0647474236325</v>
      </c>
      <c r="AE699" s="61">
        <v>1118.9028666017934</v>
      </c>
      <c r="AF699" s="61">
        <v>0</v>
      </c>
      <c r="AG699" s="61">
        <f t="shared" si="856"/>
        <v>650.8740881288727</v>
      </c>
      <c r="AH699" s="64"/>
      <c r="AI699" s="64"/>
      <c r="AJ699" s="51">
        <v>31</v>
      </c>
      <c r="AK699" s="73" t="s">
        <v>42</v>
      </c>
      <c r="AL699" s="67">
        <v>16009</v>
      </c>
      <c r="AM699" s="72" t="s">
        <v>915</v>
      </c>
      <c r="AN699" s="72" t="s">
        <v>901</v>
      </c>
      <c r="AO699" s="65">
        <f t="shared" si="867"/>
        <v>169793.24038144507</v>
      </c>
      <c r="AP699" s="65">
        <f t="shared" si="868"/>
        <v>56597.746793815022</v>
      </c>
      <c r="AQ699" s="65">
        <f t="shared" si="869"/>
        <v>0</v>
      </c>
      <c r="AR699" s="65">
        <f t="shared" si="870"/>
        <v>16983.359428354954</v>
      </c>
      <c r="AS699" s="65">
        <f t="shared" si="871"/>
        <v>0</v>
      </c>
      <c r="AT699" s="65">
        <f t="shared" si="872"/>
        <v>28298.873396907511</v>
      </c>
      <c r="AU699" s="65">
        <f t="shared" si="873"/>
        <v>5659.7746793815022</v>
      </c>
      <c r="AV699" s="65">
        <f t="shared" si="874"/>
        <v>34327.70886368565</v>
      </c>
      <c r="AW699" s="65">
        <f t="shared" si="875"/>
        <v>22704.776969083592</v>
      </c>
      <c r="AX699" s="65">
        <f t="shared" si="876"/>
        <v>13426.834399221521</v>
      </c>
      <c r="AY699" s="65">
        <f t="shared" si="877"/>
        <v>0</v>
      </c>
      <c r="AZ699" s="65">
        <f t="shared" si="878"/>
        <v>7810.4890575464724</v>
      </c>
      <c r="BB699" s="64"/>
      <c r="BC699" s="66"/>
      <c r="BD699" s="66"/>
      <c r="BE699" s="66"/>
    </row>
    <row r="700" spans="2:57" ht="21" customHeight="1" x14ac:dyDescent="0.2">
      <c r="B700" s="51">
        <v>32</v>
      </c>
      <c r="C700" s="73" t="s">
        <v>42</v>
      </c>
      <c r="D700" s="67">
        <v>16456</v>
      </c>
      <c r="E700" s="72" t="s">
        <v>916</v>
      </c>
      <c r="F700" s="72" t="s">
        <v>901</v>
      </c>
      <c r="G700" s="169">
        <v>42675</v>
      </c>
      <c r="H700" s="56"/>
      <c r="I700" s="57">
        <v>9070.1517297780483</v>
      </c>
      <c r="J700" s="58"/>
      <c r="K700" s="58"/>
      <c r="L700" s="59"/>
      <c r="M700" s="60">
        <v>4.0000000000000002E-4</v>
      </c>
      <c r="N700" s="61">
        <f t="shared" si="851"/>
        <v>362.80606919112194</v>
      </c>
      <c r="O700" s="58">
        <f t="shared" si="852"/>
        <v>9432.9577989691697</v>
      </c>
      <c r="P700" s="61">
        <f t="shared" si="802"/>
        <v>18865.915597938339</v>
      </c>
      <c r="Q700" s="61">
        <f t="shared" si="803"/>
        <v>14149.436698453756</v>
      </c>
      <c r="R700" s="61">
        <f t="shared" si="804"/>
        <v>4716.4788994845849</v>
      </c>
      <c r="S700" s="61">
        <f t="shared" si="805"/>
        <v>628.86385326461129</v>
      </c>
      <c r="T700" s="58">
        <f t="shared" si="806"/>
        <v>721.87281716244729</v>
      </c>
      <c r="U700" s="61">
        <f t="shared" si="807"/>
        <v>7074.7183492268778</v>
      </c>
      <c r="V700" s="58">
        <f t="shared" si="808"/>
        <v>2358.2394497422924</v>
      </c>
      <c r="W700" s="62">
        <v>0</v>
      </c>
      <c r="X700" s="63">
        <f t="shared" si="853"/>
        <v>0</v>
      </c>
      <c r="Y700" s="61">
        <v>1415.2799523629128</v>
      </c>
      <c r="Z700" s="61">
        <v>0</v>
      </c>
      <c r="AA700" s="61">
        <f t="shared" si="854"/>
        <v>2358.2394497422924</v>
      </c>
      <c r="AB700" s="61">
        <f t="shared" si="855"/>
        <v>471.6478899484585</v>
      </c>
      <c r="AC700" s="61">
        <v>2860.6424053071373</v>
      </c>
      <c r="AD700" s="81">
        <v>1892.0647474236325</v>
      </c>
      <c r="AE700" s="61">
        <v>1118.9028666017934</v>
      </c>
      <c r="AF700" s="61">
        <v>0</v>
      </c>
      <c r="AG700" s="61">
        <f t="shared" si="856"/>
        <v>650.8740881288727</v>
      </c>
      <c r="AH700" s="64"/>
      <c r="AI700" s="64"/>
      <c r="AJ700" s="51">
        <v>32</v>
      </c>
      <c r="AK700" s="73" t="s">
        <v>42</v>
      </c>
      <c r="AL700" s="67">
        <v>16456</v>
      </c>
      <c r="AM700" s="72" t="s">
        <v>916</v>
      </c>
      <c r="AN700" s="72" t="s">
        <v>901</v>
      </c>
      <c r="AO700" s="65">
        <f t="shared" si="867"/>
        <v>169793.24038144507</v>
      </c>
      <c r="AP700" s="65">
        <f t="shared" si="868"/>
        <v>56597.746793815022</v>
      </c>
      <c r="AQ700" s="65">
        <f t="shared" si="869"/>
        <v>0</v>
      </c>
      <c r="AR700" s="65">
        <f t="shared" si="870"/>
        <v>16983.359428354954</v>
      </c>
      <c r="AS700" s="65">
        <f t="shared" si="871"/>
        <v>0</v>
      </c>
      <c r="AT700" s="65">
        <f t="shared" si="872"/>
        <v>28298.873396907511</v>
      </c>
      <c r="AU700" s="65">
        <f t="shared" si="873"/>
        <v>5659.7746793815022</v>
      </c>
      <c r="AV700" s="65">
        <f t="shared" si="874"/>
        <v>34327.70886368565</v>
      </c>
      <c r="AW700" s="65">
        <f t="shared" si="875"/>
        <v>22704.776969083592</v>
      </c>
      <c r="AX700" s="65">
        <f t="shared" si="876"/>
        <v>13426.834399221521</v>
      </c>
      <c r="AY700" s="65">
        <f t="shared" si="877"/>
        <v>0</v>
      </c>
      <c r="AZ700" s="65">
        <f t="shared" si="878"/>
        <v>7810.4890575464724</v>
      </c>
      <c r="BB700" s="64"/>
      <c r="BC700" s="66"/>
      <c r="BD700" s="66"/>
      <c r="BE700" s="66"/>
    </row>
    <row r="701" spans="2:57" ht="21" customHeight="1" x14ac:dyDescent="0.2">
      <c r="B701" s="51">
        <v>33</v>
      </c>
      <c r="C701" s="73" t="s">
        <v>42</v>
      </c>
      <c r="D701" s="67">
        <v>16573</v>
      </c>
      <c r="E701" s="73" t="s">
        <v>917</v>
      </c>
      <c r="F701" s="72" t="s">
        <v>901</v>
      </c>
      <c r="G701" s="157">
        <v>44013</v>
      </c>
      <c r="H701" s="56"/>
      <c r="I701" s="57">
        <v>9070.1517297780483</v>
      </c>
      <c r="J701" s="58"/>
      <c r="K701" s="58"/>
      <c r="L701" s="59"/>
      <c r="M701" s="60">
        <v>4.0000000000000002E-4</v>
      </c>
      <c r="N701" s="61">
        <f t="shared" si="851"/>
        <v>362.80606919112194</v>
      </c>
      <c r="O701" s="58">
        <f t="shared" si="852"/>
        <v>9432.9577989691697</v>
      </c>
      <c r="P701" s="61">
        <f t="shared" si="802"/>
        <v>18865.915597938339</v>
      </c>
      <c r="Q701" s="61">
        <f t="shared" si="803"/>
        <v>14149.436698453756</v>
      </c>
      <c r="R701" s="61">
        <f t="shared" si="804"/>
        <v>4716.4788994845849</v>
      </c>
      <c r="S701" s="61">
        <f t="shared" si="805"/>
        <v>628.86385326461129</v>
      </c>
      <c r="T701" s="58">
        <f t="shared" si="806"/>
        <v>721.87281716244729</v>
      </c>
      <c r="U701" s="61">
        <f t="shared" si="807"/>
        <v>7074.7183492268778</v>
      </c>
      <c r="V701" s="58">
        <f t="shared" si="808"/>
        <v>2358.2394497422924</v>
      </c>
      <c r="W701" s="62">
        <v>0</v>
      </c>
      <c r="X701" s="63">
        <f t="shared" si="853"/>
        <v>0</v>
      </c>
      <c r="Y701" s="61">
        <v>1415.2799523629128</v>
      </c>
      <c r="Z701" s="61">
        <v>0</v>
      </c>
      <c r="AA701" s="61">
        <f t="shared" si="854"/>
        <v>2358.2394497422924</v>
      </c>
      <c r="AB701" s="61">
        <f t="shared" si="855"/>
        <v>471.6478899484585</v>
      </c>
      <c r="AC701" s="61">
        <v>2860.6424053071373</v>
      </c>
      <c r="AD701" s="81">
        <v>1892.0647474236325</v>
      </c>
      <c r="AE701" s="61">
        <v>1118.9028666017934</v>
      </c>
      <c r="AF701" s="61">
        <v>0</v>
      </c>
      <c r="AG701" s="61">
        <f t="shared" si="856"/>
        <v>650.8740881288727</v>
      </c>
      <c r="AH701" s="64"/>
      <c r="AI701" s="64"/>
      <c r="AJ701" s="51">
        <v>33</v>
      </c>
      <c r="AK701" s="73" t="s">
        <v>42</v>
      </c>
      <c r="AL701" s="67">
        <v>16573</v>
      </c>
      <c r="AM701" s="73" t="s">
        <v>917</v>
      </c>
      <c r="AN701" s="72" t="s">
        <v>901</v>
      </c>
      <c r="AO701" s="65">
        <f t="shared" si="867"/>
        <v>169793.24038144507</v>
      </c>
      <c r="AP701" s="65">
        <f t="shared" si="868"/>
        <v>56597.746793815022</v>
      </c>
      <c r="AQ701" s="65">
        <f t="shared" si="869"/>
        <v>0</v>
      </c>
      <c r="AR701" s="65">
        <f t="shared" si="870"/>
        <v>16983.359428354954</v>
      </c>
      <c r="AS701" s="65">
        <f t="shared" si="871"/>
        <v>0</v>
      </c>
      <c r="AT701" s="65">
        <f t="shared" si="872"/>
        <v>28298.873396907511</v>
      </c>
      <c r="AU701" s="65">
        <f t="shared" si="873"/>
        <v>5659.7746793815022</v>
      </c>
      <c r="AV701" s="65">
        <f t="shared" si="874"/>
        <v>34327.70886368565</v>
      </c>
      <c r="AW701" s="65">
        <f t="shared" si="875"/>
        <v>22704.776969083592</v>
      </c>
      <c r="AX701" s="65">
        <f t="shared" si="876"/>
        <v>13426.834399221521</v>
      </c>
      <c r="AY701" s="65">
        <f t="shared" si="877"/>
        <v>0</v>
      </c>
      <c r="AZ701" s="65">
        <f t="shared" si="878"/>
        <v>7810.4890575464724</v>
      </c>
      <c r="BB701" s="64"/>
      <c r="BC701" s="66"/>
      <c r="BD701" s="66"/>
      <c r="BE701" s="66"/>
    </row>
    <row r="702" spans="2:57" ht="21" customHeight="1" x14ac:dyDescent="0.2">
      <c r="B702" s="51">
        <v>34</v>
      </c>
      <c r="C702" s="73" t="s">
        <v>42</v>
      </c>
      <c r="D702" s="67">
        <v>16338</v>
      </c>
      <c r="E702" s="72" t="s">
        <v>918</v>
      </c>
      <c r="F702" s="72" t="s">
        <v>901</v>
      </c>
      <c r="G702" s="55">
        <v>41471</v>
      </c>
      <c r="H702" s="55" t="str">
        <f xml:space="preserve"> CONCATENATE(DATEDIF(G702,H$5,"Y")," AÑOS")</f>
        <v>11 AÑOS</v>
      </c>
      <c r="I702" s="57">
        <v>9070.1517297780483</v>
      </c>
      <c r="J702" s="57"/>
      <c r="K702" s="57"/>
      <c r="L702" s="74"/>
      <c r="M702" s="171">
        <v>4.0000000000000002E-4</v>
      </c>
      <c r="N702" s="81">
        <f t="shared" si="851"/>
        <v>362.80606919112194</v>
      </c>
      <c r="O702" s="57">
        <f t="shared" si="852"/>
        <v>9432.9577989691697</v>
      </c>
      <c r="P702" s="81">
        <f t="shared" si="802"/>
        <v>18865.915597938339</v>
      </c>
      <c r="Q702" s="81">
        <f t="shared" si="803"/>
        <v>14149.436698453756</v>
      </c>
      <c r="R702" s="81">
        <f t="shared" si="804"/>
        <v>4716.4788994845849</v>
      </c>
      <c r="S702" s="81">
        <f t="shared" si="805"/>
        <v>628.86385326461129</v>
      </c>
      <c r="T702" s="57">
        <f t="shared" si="806"/>
        <v>721.87281716244729</v>
      </c>
      <c r="U702" s="81">
        <f t="shared" si="807"/>
        <v>7074.7183492268778</v>
      </c>
      <c r="V702" s="57">
        <f t="shared" si="808"/>
        <v>2358.2394497422924</v>
      </c>
      <c r="W702" s="101">
        <v>0</v>
      </c>
      <c r="X702" s="158">
        <f t="shared" si="853"/>
        <v>0</v>
      </c>
      <c r="Y702" s="81">
        <v>1415.2799523629128</v>
      </c>
      <c r="Z702" s="81">
        <v>0</v>
      </c>
      <c r="AA702" s="81">
        <f t="shared" si="854"/>
        <v>2358.2394497422924</v>
      </c>
      <c r="AB702" s="81">
        <f t="shared" si="855"/>
        <v>471.6478899484585</v>
      </c>
      <c r="AC702" s="81">
        <v>2860.6424053071373</v>
      </c>
      <c r="AD702" s="81">
        <v>1892.0647474236325</v>
      </c>
      <c r="AE702" s="81">
        <v>1118.9028666017934</v>
      </c>
      <c r="AF702" s="81">
        <v>0</v>
      </c>
      <c r="AG702" s="81">
        <f t="shared" si="856"/>
        <v>650.8740881288727</v>
      </c>
      <c r="AH702" s="64"/>
      <c r="AI702" s="64"/>
      <c r="AJ702" s="51">
        <v>34</v>
      </c>
      <c r="AK702" s="73" t="s">
        <v>42</v>
      </c>
      <c r="AL702" s="67">
        <v>16338</v>
      </c>
      <c r="AM702" s="72" t="s">
        <v>918</v>
      </c>
      <c r="AN702" s="72" t="s">
        <v>901</v>
      </c>
      <c r="AO702" s="159">
        <f t="shared" si="867"/>
        <v>169793.24038144507</v>
      </c>
      <c r="AP702" s="159">
        <f t="shared" si="868"/>
        <v>56597.746793815022</v>
      </c>
      <c r="AQ702" s="159">
        <f t="shared" si="869"/>
        <v>0</v>
      </c>
      <c r="AR702" s="159">
        <f t="shared" si="870"/>
        <v>16983.359428354954</v>
      </c>
      <c r="AS702" s="159">
        <f t="shared" si="871"/>
        <v>0</v>
      </c>
      <c r="AT702" s="159">
        <f t="shared" si="872"/>
        <v>28298.873396907511</v>
      </c>
      <c r="AU702" s="159">
        <f t="shared" si="873"/>
        <v>5659.7746793815022</v>
      </c>
      <c r="AV702" s="159">
        <f t="shared" si="874"/>
        <v>34327.70886368565</v>
      </c>
      <c r="AW702" s="159">
        <f t="shared" si="875"/>
        <v>22704.776969083592</v>
      </c>
      <c r="AX702" s="159">
        <f t="shared" si="876"/>
        <v>13426.834399221521</v>
      </c>
      <c r="AY702" s="159">
        <f t="shared" si="877"/>
        <v>0</v>
      </c>
      <c r="AZ702" s="159">
        <f t="shared" si="878"/>
        <v>7810.4890575464724</v>
      </c>
      <c r="BB702" s="64"/>
      <c r="BC702" s="66"/>
      <c r="BD702" s="66"/>
      <c r="BE702" s="66"/>
    </row>
    <row r="703" spans="2:57" ht="21" customHeight="1" x14ac:dyDescent="0.2">
      <c r="B703" s="51">
        <v>35</v>
      </c>
      <c r="C703" s="73" t="s">
        <v>42</v>
      </c>
      <c r="D703" s="67">
        <v>16398</v>
      </c>
      <c r="E703" s="72" t="s">
        <v>919</v>
      </c>
      <c r="F703" s="72" t="s">
        <v>901</v>
      </c>
      <c r="G703" s="55">
        <v>41867</v>
      </c>
      <c r="H703" s="55" t="str">
        <f xml:space="preserve"> CONCATENATE(DATEDIF(G703,H$5,"Y")," AÑOS")</f>
        <v>10 AÑOS</v>
      </c>
      <c r="I703" s="57">
        <v>9070.1517297780483</v>
      </c>
      <c r="J703" s="57"/>
      <c r="K703" s="57"/>
      <c r="L703" s="74"/>
      <c r="M703" s="171">
        <v>4.0000000000000002E-4</v>
      </c>
      <c r="N703" s="81">
        <f t="shared" si="851"/>
        <v>362.80606919112194</v>
      </c>
      <c r="O703" s="57">
        <f t="shared" si="852"/>
        <v>9432.9577989691697</v>
      </c>
      <c r="P703" s="81">
        <f t="shared" si="802"/>
        <v>18865.915597938339</v>
      </c>
      <c r="Q703" s="81">
        <f t="shared" si="803"/>
        <v>14149.436698453756</v>
      </c>
      <c r="R703" s="81">
        <f t="shared" si="804"/>
        <v>4716.4788994845849</v>
      </c>
      <c r="S703" s="81">
        <f t="shared" si="805"/>
        <v>628.86385326461129</v>
      </c>
      <c r="T703" s="57">
        <f t="shared" si="806"/>
        <v>721.87281716244729</v>
      </c>
      <c r="U703" s="81">
        <f t="shared" si="807"/>
        <v>7074.7183492268778</v>
      </c>
      <c r="V703" s="57">
        <f t="shared" si="808"/>
        <v>2358.2394497422924</v>
      </c>
      <c r="W703" s="101">
        <v>0</v>
      </c>
      <c r="X703" s="158">
        <f t="shared" si="853"/>
        <v>0</v>
      </c>
      <c r="Y703" s="81">
        <v>1415.2799523629128</v>
      </c>
      <c r="Z703" s="81">
        <v>0</v>
      </c>
      <c r="AA703" s="81">
        <f t="shared" si="854"/>
        <v>2358.2394497422924</v>
      </c>
      <c r="AB703" s="81">
        <f t="shared" si="855"/>
        <v>471.6478899484585</v>
      </c>
      <c r="AC703" s="81">
        <v>2860.6424053071373</v>
      </c>
      <c r="AD703" s="81">
        <v>1892.0647474236325</v>
      </c>
      <c r="AE703" s="81">
        <v>1118.9028666017934</v>
      </c>
      <c r="AF703" s="81">
        <v>0</v>
      </c>
      <c r="AG703" s="81">
        <f t="shared" si="856"/>
        <v>650.8740881288727</v>
      </c>
      <c r="AH703" s="64"/>
      <c r="AI703" s="64"/>
      <c r="AJ703" s="51">
        <v>35</v>
      </c>
      <c r="AK703" s="73" t="s">
        <v>42</v>
      </c>
      <c r="AL703" s="67">
        <v>16398</v>
      </c>
      <c r="AM703" s="72" t="s">
        <v>919</v>
      </c>
      <c r="AN703" s="72" t="s">
        <v>901</v>
      </c>
      <c r="AO703" s="65">
        <f t="shared" si="867"/>
        <v>169793.24038144507</v>
      </c>
      <c r="AP703" s="65">
        <f t="shared" si="868"/>
        <v>56597.746793815022</v>
      </c>
      <c r="AQ703" s="65">
        <f t="shared" si="869"/>
        <v>0</v>
      </c>
      <c r="AR703" s="65">
        <f t="shared" si="870"/>
        <v>16983.359428354954</v>
      </c>
      <c r="AS703" s="65">
        <f t="shared" si="871"/>
        <v>0</v>
      </c>
      <c r="AT703" s="65">
        <f t="shared" si="872"/>
        <v>28298.873396907511</v>
      </c>
      <c r="AU703" s="65">
        <f t="shared" si="873"/>
        <v>5659.7746793815022</v>
      </c>
      <c r="AV703" s="65">
        <f t="shared" si="874"/>
        <v>34327.70886368565</v>
      </c>
      <c r="AW703" s="65">
        <f t="shared" si="875"/>
        <v>22704.776969083592</v>
      </c>
      <c r="AX703" s="65">
        <f t="shared" si="876"/>
        <v>13426.834399221521</v>
      </c>
      <c r="AY703" s="65">
        <f t="shared" si="877"/>
        <v>0</v>
      </c>
      <c r="AZ703" s="65">
        <f t="shared" si="878"/>
        <v>7810.4890575464724</v>
      </c>
      <c r="BB703" s="64"/>
      <c r="BC703" s="66"/>
      <c r="BD703" s="66"/>
      <c r="BE703" s="66"/>
    </row>
    <row r="704" spans="2:57" ht="21" customHeight="1" x14ac:dyDescent="0.2">
      <c r="B704" s="51">
        <v>36</v>
      </c>
      <c r="C704" s="73" t="s">
        <v>42</v>
      </c>
      <c r="D704" s="67">
        <v>16350</v>
      </c>
      <c r="E704" s="72" t="s">
        <v>920</v>
      </c>
      <c r="F704" s="72" t="s">
        <v>901</v>
      </c>
      <c r="G704" s="55">
        <v>41627</v>
      </c>
      <c r="H704" s="55"/>
      <c r="I704" s="57">
        <v>9070.1517297780483</v>
      </c>
      <c r="J704" s="57"/>
      <c r="K704" s="57"/>
      <c r="L704" s="74"/>
      <c r="M704" s="171">
        <v>4.0000000000000002E-4</v>
      </c>
      <c r="N704" s="81">
        <f t="shared" si="851"/>
        <v>362.80606919112194</v>
      </c>
      <c r="O704" s="57">
        <f t="shared" si="852"/>
        <v>9432.9577989691697</v>
      </c>
      <c r="P704" s="81">
        <f t="shared" ref="P704:P767" si="880">O704*2</f>
        <v>18865.915597938339</v>
      </c>
      <c r="Q704" s="81">
        <f t="shared" ref="Q704:Q767" si="881">P704*0.75</f>
        <v>14149.436698453756</v>
      </c>
      <c r="R704" s="81">
        <f t="shared" ref="R704:R767" si="882">P704*0.25</f>
        <v>4716.4788994845849</v>
      </c>
      <c r="S704" s="81">
        <f t="shared" ref="S704:S767" si="883">(P704/30)</f>
        <v>628.86385326461129</v>
      </c>
      <c r="T704" s="57">
        <f t="shared" ref="T704:T767" si="884">S704*1.1479</f>
        <v>721.87281716244729</v>
      </c>
      <c r="U704" s="81">
        <f t="shared" ref="U704:U767" si="885">O704*0.75</f>
        <v>7074.7183492268778</v>
      </c>
      <c r="V704" s="57">
        <f t="shared" ref="V704:V767" si="886">O704*0.25</f>
        <v>2358.2394497422924</v>
      </c>
      <c r="W704" s="101">
        <v>0</v>
      </c>
      <c r="X704" s="158">
        <f t="shared" si="853"/>
        <v>0</v>
      </c>
      <c r="Y704" s="81">
        <v>1415.2799523629128</v>
      </c>
      <c r="Z704" s="81">
        <v>0</v>
      </c>
      <c r="AA704" s="81">
        <f t="shared" si="854"/>
        <v>2358.2394497422924</v>
      </c>
      <c r="AB704" s="81">
        <f t="shared" si="855"/>
        <v>471.6478899484585</v>
      </c>
      <c r="AC704" s="81">
        <v>2860.6424053071373</v>
      </c>
      <c r="AD704" s="81">
        <v>1892.0647474236325</v>
      </c>
      <c r="AE704" s="81">
        <v>1118.9028666017934</v>
      </c>
      <c r="AF704" s="81">
        <v>0</v>
      </c>
      <c r="AG704" s="81">
        <f t="shared" si="856"/>
        <v>650.8740881288727</v>
      </c>
      <c r="AH704" s="64"/>
      <c r="AI704" s="64"/>
      <c r="AJ704" s="51">
        <v>36</v>
      </c>
      <c r="AK704" s="73" t="s">
        <v>42</v>
      </c>
      <c r="AL704" s="67">
        <v>16350</v>
      </c>
      <c r="AM704" s="72" t="s">
        <v>920</v>
      </c>
      <c r="AN704" s="72" t="s">
        <v>901</v>
      </c>
      <c r="AO704" s="65">
        <f t="shared" si="867"/>
        <v>169793.24038144507</v>
      </c>
      <c r="AP704" s="65">
        <f t="shared" si="868"/>
        <v>56597.746793815022</v>
      </c>
      <c r="AQ704" s="65">
        <f t="shared" si="869"/>
        <v>0</v>
      </c>
      <c r="AR704" s="65">
        <f t="shared" si="870"/>
        <v>16983.359428354954</v>
      </c>
      <c r="AS704" s="65">
        <f t="shared" si="871"/>
        <v>0</v>
      </c>
      <c r="AT704" s="65">
        <f t="shared" si="872"/>
        <v>28298.873396907511</v>
      </c>
      <c r="AU704" s="65">
        <f t="shared" si="873"/>
        <v>5659.7746793815022</v>
      </c>
      <c r="AV704" s="65">
        <f t="shared" si="874"/>
        <v>34327.70886368565</v>
      </c>
      <c r="AW704" s="65">
        <f t="shared" si="875"/>
        <v>22704.776969083592</v>
      </c>
      <c r="AX704" s="65">
        <f t="shared" si="876"/>
        <v>13426.834399221521</v>
      </c>
      <c r="AY704" s="65">
        <f t="shared" si="877"/>
        <v>0</v>
      </c>
      <c r="AZ704" s="65">
        <f t="shared" si="878"/>
        <v>7810.4890575464724</v>
      </c>
      <c r="BB704" s="64"/>
      <c r="BC704" s="66"/>
      <c r="BD704" s="66"/>
      <c r="BE704" s="66"/>
    </row>
    <row r="705" spans="2:57" ht="21" customHeight="1" x14ac:dyDescent="0.2">
      <c r="B705" s="51">
        <v>37</v>
      </c>
      <c r="C705" s="73" t="s">
        <v>42</v>
      </c>
      <c r="D705" s="67">
        <v>16539</v>
      </c>
      <c r="E705" s="73" t="s">
        <v>921</v>
      </c>
      <c r="F705" s="72" t="s">
        <v>901</v>
      </c>
      <c r="G705" s="169">
        <v>43785</v>
      </c>
      <c r="H705" s="55"/>
      <c r="I705" s="57">
        <v>9070.1517297780483</v>
      </c>
      <c r="J705" s="57"/>
      <c r="K705" s="57"/>
      <c r="L705" s="74"/>
      <c r="M705" s="171">
        <v>4.0000000000000002E-4</v>
      </c>
      <c r="N705" s="81">
        <f t="shared" si="851"/>
        <v>362.80606919112194</v>
      </c>
      <c r="O705" s="57">
        <f t="shared" si="852"/>
        <v>9432.9577989691697</v>
      </c>
      <c r="P705" s="81">
        <f t="shared" si="880"/>
        <v>18865.915597938339</v>
      </c>
      <c r="Q705" s="81">
        <f t="shared" si="881"/>
        <v>14149.436698453756</v>
      </c>
      <c r="R705" s="81">
        <f t="shared" si="882"/>
        <v>4716.4788994845849</v>
      </c>
      <c r="S705" s="81">
        <f t="shared" si="883"/>
        <v>628.86385326461129</v>
      </c>
      <c r="T705" s="57">
        <f t="shared" si="884"/>
        <v>721.87281716244729</v>
      </c>
      <c r="U705" s="81">
        <f t="shared" si="885"/>
        <v>7074.7183492268778</v>
      </c>
      <c r="V705" s="57">
        <f t="shared" si="886"/>
        <v>2358.2394497422924</v>
      </c>
      <c r="W705" s="101">
        <v>0</v>
      </c>
      <c r="X705" s="158">
        <f t="shared" si="853"/>
        <v>0</v>
      </c>
      <c r="Y705" s="81">
        <v>1415.2799523629128</v>
      </c>
      <c r="Z705" s="81">
        <v>0</v>
      </c>
      <c r="AA705" s="81">
        <f t="shared" si="854"/>
        <v>2358.2394497422924</v>
      </c>
      <c r="AB705" s="81">
        <f t="shared" si="855"/>
        <v>471.6478899484585</v>
      </c>
      <c r="AC705" s="81">
        <v>2860.6424053071373</v>
      </c>
      <c r="AD705" s="81">
        <v>1892.0647474236325</v>
      </c>
      <c r="AE705" s="81">
        <v>1118.9028666017934</v>
      </c>
      <c r="AF705" s="81">
        <v>0</v>
      </c>
      <c r="AG705" s="81">
        <f t="shared" si="856"/>
        <v>650.8740881288727</v>
      </c>
      <c r="AH705" s="64"/>
      <c r="AI705" s="64"/>
      <c r="AJ705" s="51">
        <v>37</v>
      </c>
      <c r="AK705" s="73" t="s">
        <v>42</v>
      </c>
      <c r="AL705" s="67">
        <v>16539</v>
      </c>
      <c r="AM705" s="73" t="s">
        <v>921</v>
      </c>
      <c r="AN705" s="72" t="s">
        <v>901</v>
      </c>
      <c r="AO705" s="65">
        <f t="shared" si="867"/>
        <v>169793.24038144507</v>
      </c>
      <c r="AP705" s="65">
        <f t="shared" si="868"/>
        <v>56597.746793815022</v>
      </c>
      <c r="AQ705" s="65">
        <f t="shared" si="869"/>
        <v>0</v>
      </c>
      <c r="AR705" s="65">
        <f t="shared" si="870"/>
        <v>16983.359428354954</v>
      </c>
      <c r="AS705" s="65">
        <f t="shared" si="871"/>
        <v>0</v>
      </c>
      <c r="AT705" s="65">
        <f t="shared" si="872"/>
        <v>28298.873396907511</v>
      </c>
      <c r="AU705" s="65">
        <f t="shared" si="873"/>
        <v>5659.7746793815022</v>
      </c>
      <c r="AV705" s="65">
        <f t="shared" si="874"/>
        <v>34327.70886368565</v>
      </c>
      <c r="AW705" s="65">
        <f t="shared" si="875"/>
        <v>22704.776969083592</v>
      </c>
      <c r="AX705" s="65">
        <f t="shared" si="876"/>
        <v>13426.834399221521</v>
      </c>
      <c r="AY705" s="65">
        <f t="shared" si="877"/>
        <v>0</v>
      </c>
      <c r="AZ705" s="65">
        <f t="shared" si="878"/>
        <v>7810.4890575464724</v>
      </c>
      <c r="BB705" s="64"/>
      <c r="BC705" s="66"/>
      <c r="BD705" s="66"/>
      <c r="BE705" s="66"/>
    </row>
    <row r="706" spans="2:57" ht="21" customHeight="1" x14ac:dyDescent="0.2">
      <c r="B706" s="51">
        <v>38</v>
      </c>
      <c r="C706" s="73" t="s">
        <v>42</v>
      </c>
      <c r="D706" s="67">
        <v>16460</v>
      </c>
      <c r="E706" s="72" t="s">
        <v>922</v>
      </c>
      <c r="F706" s="72" t="s">
        <v>901</v>
      </c>
      <c r="G706" s="169">
        <v>43450</v>
      </c>
      <c r="H706" s="55" t="str">
        <f xml:space="preserve"> CONCATENATE(DATEDIF(G706,H$5,"Y")," AÑOS")</f>
        <v>6 AÑOS</v>
      </c>
      <c r="I706" s="57">
        <v>9070.1517297780483</v>
      </c>
      <c r="J706" s="57"/>
      <c r="K706" s="57"/>
      <c r="L706" s="74"/>
      <c r="M706" s="171">
        <v>4.0000000000000002E-4</v>
      </c>
      <c r="N706" s="81">
        <f t="shared" si="851"/>
        <v>362.80606919112194</v>
      </c>
      <c r="O706" s="57">
        <f t="shared" si="852"/>
        <v>9432.9577989691697</v>
      </c>
      <c r="P706" s="81">
        <f t="shared" si="880"/>
        <v>18865.915597938339</v>
      </c>
      <c r="Q706" s="81">
        <f t="shared" si="881"/>
        <v>14149.436698453756</v>
      </c>
      <c r="R706" s="81">
        <f t="shared" si="882"/>
        <v>4716.4788994845849</v>
      </c>
      <c r="S706" s="81">
        <f t="shared" si="883"/>
        <v>628.86385326461129</v>
      </c>
      <c r="T706" s="57">
        <f t="shared" si="884"/>
        <v>721.87281716244729</v>
      </c>
      <c r="U706" s="81">
        <f t="shared" si="885"/>
        <v>7074.7183492268778</v>
      </c>
      <c r="V706" s="57">
        <f t="shared" si="886"/>
        <v>2358.2394497422924</v>
      </c>
      <c r="W706" s="101">
        <v>0</v>
      </c>
      <c r="X706" s="158">
        <f t="shared" si="853"/>
        <v>0</v>
      </c>
      <c r="Y706" s="81">
        <v>1415.2799523629128</v>
      </c>
      <c r="Z706" s="81">
        <v>0</v>
      </c>
      <c r="AA706" s="81">
        <f t="shared" si="854"/>
        <v>2358.2394497422924</v>
      </c>
      <c r="AB706" s="81">
        <f t="shared" si="855"/>
        <v>471.6478899484585</v>
      </c>
      <c r="AC706" s="81">
        <v>2860.6424053071373</v>
      </c>
      <c r="AD706" s="81">
        <v>1892.0647474236325</v>
      </c>
      <c r="AE706" s="81">
        <v>1118.9028666017934</v>
      </c>
      <c r="AF706" s="81">
        <v>0</v>
      </c>
      <c r="AG706" s="81">
        <f t="shared" si="856"/>
        <v>650.8740881288727</v>
      </c>
      <c r="AH706" s="64"/>
      <c r="AI706" s="64"/>
      <c r="AJ706" s="51">
        <v>38</v>
      </c>
      <c r="AK706" s="73" t="s">
        <v>42</v>
      </c>
      <c r="AL706" s="67">
        <v>16460</v>
      </c>
      <c r="AM706" s="72" t="s">
        <v>922</v>
      </c>
      <c r="AN706" s="72" t="s">
        <v>901</v>
      </c>
      <c r="AO706" s="65">
        <f t="shared" si="867"/>
        <v>169793.24038144507</v>
      </c>
      <c r="AP706" s="65">
        <f t="shared" si="868"/>
        <v>56597.746793815022</v>
      </c>
      <c r="AQ706" s="65">
        <f t="shared" si="869"/>
        <v>0</v>
      </c>
      <c r="AR706" s="65">
        <f t="shared" si="870"/>
        <v>16983.359428354954</v>
      </c>
      <c r="AS706" s="65">
        <f t="shared" si="871"/>
        <v>0</v>
      </c>
      <c r="AT706" s="65">
        <f t="shared" si="872"/>
        <v>28298.873396907511</v>
      </c>
      <c r="AU706" s="65">
        <f t="shared" si="873"/>
        <v>5659.7746793815022</v>
      </c>
      <c r="AV706" s="65">
        <f t="shared" si="874"/>
        <v>34327.70886368565</v>
      </c>
      <c r="AW706" s="65">
        <f t="shared" si="875"/>
        <v>22704.776969083592</v>
      </c>
      <c r="AX706" s="65">
        <f t="shared" si="876"/>
        <v>13426.834399221521</v>
      </c>
      <c r="AY706" s="65">
        <f t="shared" si="877"/>
        <v>0</v>
      </c>
      <c r="AZ706" s="65">
        <f t="shared" si="878"/>
        <v>7810.4890575464724</v>
      </c>
      <c r="BB706" s="64"/>
      <c r="BC706" s="66"/>
      <c r="BD706" s="66"/>
      <c r="BE706" s="66"/>
    </row>
    <row r="707" spans="2:57" ht="21" customHeight="1" x14ac:dyDescent="0.2">
      <c r="B707" s="51">
        <v>39</v>
      </c>
      <c r="C707" s="73" t="s">
        <v>42</v>
      </c>
      <c r="D707" s="67">
        <v>16565</v>
      </c>
      <c r="E707" s="73" t="s">
        <v>923</v>
      </c>
      <c r="F707" s="72" t="s">
        <v>901</v>
      </c>
      <c r="G707" s="55">
        <v>43877</v>
      </c>
      <c r="H707" s="55" t="str">
        <f xml:space="preserve"> CONCATENATE(DATEDIF(G707,H$5,"Y")," AÑOS")</f>
        <v>4 AÑOS</v>
      </c>
      <c r="I707" s="57">
        <v>9070.1517297780483</v>
      </c>
      <c r="J707" s="57"/>
      <c r="K707" s="57"/>
      <c r="L707" s="74"/>
      <c r="M707" s="171">
        <v>4.0000000000000002E-4</v>
      </c>
      <c r="N707" s="81">
        <f t="shared" si="851"/>
        <v>362.80606919112194</v>
      </c>
      <c r="O707" s="57">
        <f t="shared" si="852"/>
        <v>9432.9577989691697</v>
      </c>
      <c r="P707" s="81">
        <f t="shared" si="880"/>
        <v>18865.915597938339</v>
      </c>
      <c r="Q707" s="81">
        <f t="shared" si="881"/>
        <v>14149.436698453756</v>
      </c>
      <c r="R707" s="81">
        <f t="shared" si="882"/>
        <v>4716.4788994845849</v>
      </c>
      <c r="S707" s="81">
        <f t="shared" si="883"/>
        <v>628.86385326461129</v>
      </c>
      <c r="T707" s="57">
        <f t="shared" si="884"/>
        <v>721.87281716244729</v>
      </c>
      <c r="U707" s="81">
        <f t="shared" si="885"/>
        <v>7074.7183492268778</v>
      </c>
      <c r="V707" s="57">
        <f t="shared" si="886"/>
        <v>2358.2394497422924</v>
      </c>
      <c r="W707" s="101">
        <v>0</v>
      </c>
      <c r="X707" s="158">
        <f t="shared" si="853"/>
        <v>0</v>
      </c>
      <c r="Y707" s="81">
        <v>1415.2799523629128</v>
      </c>
      <c r="Z707" s="81">
        <v>0</v>
      </c>
      <c r="AA707" s="81">
        <f t="shared" si="854"/>
        <v>2358.2394497422924</v>
      </c>
      <c r="AB707" s="81">
        <f t="shared" si="855"/>
        <v>471.6478899484585</v>
      </c>
      <c r="AC707" s="81">
        <v>2860.6424053071373</v>
      </c>
      <c r="AD707" s="81">
        <v>1892.0647474236325</v>
      </c>
      <c r="AE707" s="81">
        <v>1118.9028666017934</v>
      </c>
      <c r="AF707" s="81">
        <v>0</v>
      </c>
      <c r="AG707" s="81">
        <f t="shared" si="856"/>
        <v>650.8740881288727</v>
      </c>
      <c r="AH707" s="64"/>
      <c r="AI707" s="64"/>
      <c r="AJ707" s="51">
        <v>39</v>
      </c>
      <c r="AK707" s="73" t="s">
        <v>42</v>
      </c>
      <c r="AL707" s="67">
        <v>16565</v>
      </c>
      <c r="AM707" s="73" t="s">
        <v>923</v>
      </c>
      <c r="AN707" s="72" t="s">
        <v>901</v>
      </c>
      <c r="AO707" s="65">
        <f t="shared" si="867"/>
        <v>169793.24038144507</v>
      </c>
      <c r="AP707" s="65">
        <f t="shared" si="868"/>
        <v>56597.746793815022</v>
      </c>
      <c r="AQ707" s="65">
        <f t="shared" si="869"/>
        <v>0</v>
      </c>
      <c r="AR707" s="65">
        <f t="shared" si="870"/>
        <v>16983.359428354954</v>
      </c>
      <c r="AS707" s="65">
        <f t="shared" si="871"/>
        <v>0</v>
      </c>
      <c r="AT707" s="65">
        <f t="shared" si="872"/>
        <v>28298.873396907511</v>
      </c>
      <c r="AU707" s="65">
        <f t="shared" si="873"/>
        <v>5659.7746793815022</v>
      </c>
      <c r="AV707" s="65">
        <f t="shared" si="874"/>
        <v>34327.70886368565</v>
      </c>
      <c r="AW707" s="65">
        <f t="shared" si="875"/>
        <v>22704.776969083592</v>
      </c>
      <c r="AX707" s="65">
        <f t="shared" si="876"/>
        <v>13426.834399221521</v>
      </c>
      <c r="AY707" s="65">
        <f t="shared" si="877"/>
        <v>0</v>
      </c>
      <c r="AZ707" s="65">
        <f t="shared" si="878"/>
        <v>7810.4890575464724</v>
      </c>
      <c r="BB707" s="64"/>
      <c r="BC707" s="66"/>
      <c r="BD707" s="66"/>
      <c r="BE707" s="66"/>
    </row>
    <row r="708" spans="2:57" ht="21" customHeight="1" x14ac:dyDescent="0.2">
      <c r="B708" s="51">
        <v>40</v>
      </c>
      <c r="C708" s="73" t="s">
        <v>42</v>
      </c>
      <c r="D708" s="78">
        <v>16535</v>
      </c>
      <c r="E708" s="73" t="s">
        <v>924</v>
      </c>
      <c r="F708" s="72" t="s">
        <v>901</v>
      </c>
      <c r="G708" s="169">
        <v>43678</v>
      </c>
      <c r="H708" s="56" t="str">
        <f xml:space="preserve"> CONCATENATE(DATEDIF(G708,H$5,"Y")," AÑOS")</f>
        <v>5 AÑOS</v>
      </c>
      <c r="I708" s="57">
        <v>9070.1517297780483</v>
      </c>
      <c r="J708" s="58"/>
      <c r="K708" s="58"/>
      <c r="L708" s="59"/>
      <c r="M708" s="60">
        <v>4.0000000000000002E-4</v>
      </c>
      <c r="N708" s="61">
        <f t="shared" si="851"/>
        <v>362.80606919112194</v>
      </c>
      <c r="O708" s="58">
        <f t="shared" si="852"/>
        <v>9432.9577989691697</v>
      </c>
      <c r="P708" s="61">
        <f t="shared" si="880"/>
        <v>18865.915597938339</v>
      </c>
      <c r="Q708" s="61">
        <f t="shared" si="881"/>
        <v>14149.436698453756</v>
      </c>
      <c r="R708" s="61">
        <f t="shared" si="882"/>
        <v>4716.4788994845849</v>
      </c>
      <c r="S708" s="61">
        <f t="shared" si="883"/>
        <v>628.86385326461129</v>
      </c>
      <c r="T708" s="58">
        <f t="shared" si="884"/>
        <v>721.87281716244729</v>
      </c>
      <c r="U708" s="61">
        <f t="shared" si="885"/>
        <v>7074.7183492268778</v>
      </c>
      <c r="V708" s="58">
        <f t="shared" si="886"/>
        <v>2358.2394497422924</v>
      </c>
      <c r="W708" s="62">
        <v>0</v>
      </c>
      <c r="X708" s="63">
        <f t="shared" si="853"/>
        <v>0</v>
      </c>
      <c r="Y708" s="61">
        <v>1415.2799523629128</v>
      </c>
      <c r="Z708" s="61">
        <v>0</v>
      </c>
      <c r="AA708" s="61">
        <f t="shared" si="854"/>
        <v>2358.2394497422924</v>
      </c>
      <c r="AB708" s="61">
        <f t="shared" si="855"/>
        <v>471.6478899484585</v>
      </c>
      <c r="AC708" s="61">
        <v>2860.6424053071373</v>
      </c>
      <c r="AD708" s="81">
        <v>1892.0647474236325</v>
      </c>
      <c r="AE708" s="61">
        <v>1118.9028666017934</v>
      </c>
      <c r="AF708" s="61">
        <v>0</v>
      </c>
      <c r="AG708" s="61">
        <f t="shared" si="856"/>
        <v>650.8740881288727</v>
      </c>
      <c r="AH708" s="64"/>
      <c r="AI708" s="64"/>
      <c r="AJ708" s="51">
        <v>40</v>
      </c>
      <c r="AK708" s="73" t="s">
        <v>42</v>
      </c>
      <c r="AL708" s="78">
        <v>16535</v>
      </c>
      <c r="AM708" s="73" t="s">
        <v>924</v>
      </c>
      <c r="AN708" s="72" t="s">
        <v>901</v>
      </c>
      <c r="AO708" s="65">
        <f t="shared" si="867"/>
        <v>169793.24038144507</v>
      </c>
      <c r="AP708" s="65">
        <f t="shared" si="868"/>
        <v>56597.746793815022</v>
      </c>
      <c r="AQ708" s="65">
        <f t="shared" si="869"/>
        <v>0</v>
      </c>
      <c r="AR708" s="65">
        <f t="shared" si="870"/>
        <v>16983.359428354954</v>
      </c>
      <c r="AS708" s="65">
        <f t="shared" si="871"/>
        <v>0</v>
      </c>
      <c r="AT708" s="65">
        <f t="shared" si="872"/>
        <v>28298.873396907511</v>
      </c>
      <c r="AU708" s="65">
        <f t="shared" si="873"/>
        <v>5659.7746793815022</v>
      </c>
      <c r="AV708" s="65">
        <f t="shared" si="874"/>
        <v>34327.70886368565</v>
      </c>
      <c r="AW708" s="65">
        <f t="shared" si="875"/>
        <v>22704.776969083592</v>
      </c>
      <c r="AX708" s="65">
        <f t="shared" si="876"/>
        <v>13426.834399221521</v>
      </c>
      <c r="AY708" s="65">
        <f t="shared" si="877"/>
        <v>0</v>
      </c>
      <c r="AZ708" s="65">
        <f t="shared" si="878"/>
        <v>7810.4890575464724</v>
      </c>
      <c r="BB708" s="64"/>
      <c r="BC708" s="66"/>
      <c r="BD708" s="66"/>
      <c r="BE708" s="66"/>
    </row>
    <row r="709" spans="2:57" ht="21" customHeight="1" x14ac:dyDescent="0.2">
      <c r="B709" s="51">
        <v>41</v>
      </c>
      <c r="C709" s="73" t="s">
        <v>42</v>
      </c>
      <c r="D709" s="78">
        <v>16219</v>
      </c>
      <c r="E709" s="72" t="s">
        <v>925</v>
      </c>
      <c r="F709" s="72" t="s">
        <v>901</v>
      </c>
      <c r="G709" s="55">
        <v>38414</v>
      </c>
      <c r="H709" s="56" t="str">
        <f xml:space="preserve"> CONCATENATE(DATEDIF(G709,H$5,"Y")," AÑOS")</f>
        <v>19 AÑOS</v>
      </c>
      <c r="I709" s="57">
        <v>9070.1517297780483</v>
      </c>
      <c r="J709" s="58"/>
      <c r="K709" s="58"/>
      <c r="L709" s="59"/>
      <c r="M709" s="60">
        <v>4.0000000000000002E-4</v>
      </c>
      <c r="N709" s="61">
        <f t="shared" si="851"/>
        <v>362.80606919112194</v>
      </c>
      <c r="O709" s="58">
        <f t="shared" si="852"/>
        <v>9432.9577989691697</v>
      </c>
      <c r="P709" s="61">
        <f t="shared" si="880"/>
        <v>18865.915597938339</v>
      </c>
      <c r="Q709" s="61">
        <f t="shared" si="881"/>
        <v>14149.436698453756</v>
      </c>
      <c r="R709" s="61">
        <f t="shared" si="882"/>
        <v>4716.4788994845849</v>
      </c>
      <c r="S709" s="61">
        <f t="shared" si="883"/>
        <v>628.86385326461129</v>
      </c>
      <c r="T709" s="58">
        <f t="shared" si="884"/>
        <v>721.87281716244729</v>
      </c>
      <c r="U709" s="61">
        <f t="shared" si="885"/>
        <v>7074.7183492268778</v>
      </c>
      <c r="V709" s="58">
        <f t="shared" si="886"/>
        <v>2358.2394497422924</v>
      </c>
      <c r="W709" s="62">
        <v>0</v>
      </c>
      <c r="X709" s="63">
        <f t="shared" si="853"/>
        <v>0</v>
      </c>
      <c r="Y709" s="61">
        <v>1415.2799523629128</v>
      </c>
      <c r="Z709" s="61">
        <v>0</v>
      </c>
      <c r="AA709" s="61">
        <f t="shared" si="854"/>
        <v>2358.2394497422924</v>
      </c>
      <c r="AB709" s="61">
        <f t="shared" si="855"/>
        <v>471.6478899484585</v>
      </c>
      <c r="AC709" s="61">
        <v>2860.6424053071373</v>
      </c>
      <c r="AD709" s="81">
        <v>1892.0647474236325</v>
      </c>
      <c r="AE709" s="61">
        <v>1118.9028666017934</v>
      </c>
      <c r="AF709" s="61">
        <v>0</v>
      </c>
      <c r="AG709" s="61">
        <f t="shared" si="856"/>
        <v>650.8740881288727</v>
      </c>
      <c r="AH709" s="64"/>
      <c r="AI709" s="64"/>
      <c r="AJ709" s="51">
        <v>41</v>
      </c>
      <c r="AK709" s="73" t="s">
        <v>42</v>
      </c>
      <c r="AL709" s="78">
        <v>16219</v>
      </c>
      <c r="AM709" s="72" t="s">
        <v>925</v>
      </c>
      <c r="AN709" s="72" t="s">
        <v>901</v>
      </c>
      <c r="AO709" s="65">
        <f t="shared" si="867"/>
        <v>169793.24038144507</v>
      </c>
      <c r="AP709" s="65">
        <f t="shared" si="868"/>
        <v>56597.746793815022</v>
      </c>
      <c r="AQ709" s="65">
        <f t="shared" si="869"/>
        <v>0</v>
      </c>
      <c r="AR709" s="65">
        <f t="shared" si="870"/>
        <v>16983.359428354954</v>
      </c>
      <c r="AS709" s="65">
        <f t="shared" si="871"/>
        <v>0</v>
      </c>
      <c r="AT709" s="65">
        <f t="shared" si="872"/>
        <v>28298.873396907511</v>
      </c>
      <c r="AU709" s="65">
        <f t="shared" si="873"/>
        <v>5659.7746793815022</v>
      </c>
      <c r="AV709" s="65">
        <f t="shared" si="874"/>
        <v>34327.70886368565</v>
      </c>
      <c r="AW709" s="65">
        <f t="shared" si="875"/>
        <v>22704.776969083592</v>
      </c>
      <c r="AX709" s="65">
        <f t="shared" si="876"/>
        <v>13426.834399221521</v>
      </c>
      <c r="AY709" s="65">
        <f t="shared" si="877"/>
        <v>0</v>
      </c>
      <c r="AZ709" s="65">
        <f t="shared" si="878"/>
        <v>7810.4890575464724</v>
      </c>
      <c r="BB709" s="64"/>
      <c r="BC709" s="66"/>
      <c r="BD709" s="66"/>
      <c r="BE709" s="66"/>
    </row>
    <row r="710" spans="2:57" ht="21" customHeight="1" x14ac:dyDescent="0.2">
      <c r="B710" s="51">
        <v>42</v>
      </c>
      <c r="C710" s="73" t="s">
        <v>42</v>
      </c>
      <c r="D710" s="278">
        <v>17146</v>
      </c>
      <c r="E710" s="73" t="s">
        <v>926</v>
      </c>
      <c r="F710" s="72" t="s">
        <v>901</v>
      </c>
      <c r="G710" s="169">
        <v>42849</v>
      </c>
      <c r="H710" s="56" t="str">
        <f xml:space="preserve"> CONCATENATE(DATEDIF(G710,H$5,"Y")," AÑOS")</f>
        <v>7 AÑOS</v>
      </c>
      <c r="I710" s="57">
        <v>9070.1517297780483</v>
      </c>
      <c r="J710" s="58"/>
      <c r="K710" s="58"/>
      <c r="L710" s="59"/>
      <c r="M710" s="60">
        <v>4.0000000000000002E-4</v>
      </c>
      <c r="N710" s="61">
        <f t="shared" si="851"/>
        <v>362.80606919112194</v>
      </c>
      <c r="O710" s="58">
        <f t="shared" si="852"/>
        <v>9432.9577989691697</v>
      </c>
      <c r="P710" s="61">
        <f t="shared" si="880"/>
        <v>18865.915597938339</v>
      </c>
      <c r="Q710" s="61">
        <f t="shared" si="881"/>
        <v>14149.436698453756</v>
      </c>
      <c r="R710" s="61">
        <f t="shared" si="882"/>
        <v>4716.4788994845849</v>
      </c>
      <c r="S710" s="61">
        <f t="shared" si="883"/>
        <v>628.86385326461129</v>
      </c>
      <c r="T710" s="58">
        <f t="shared" si="884"/>
        <v>721.87281716244729</v>
      </c>
      <c r="U710" s="61">
        <f t="shared" si="885"/>
        <v>7074.7183492268778</v>
      </c>
      <c r="V710" s="58">
        <f t="shared" si="886"/>
        <v>2358.2394497422924</v>
      </c>
      <c r="W710" s="62">
        <v>0</v>
      </c>
      <c r="X710" s="63">
        <f t="shared" si="853"/>
        <v>0</v>
      </c>
      <c r="Y710" s="61">
        <v>1415.2799523629128</v>
      </c>
      <c r="Z710" s="61">
        <v>0</v>
      </c>
      <c r="AA710" s="61">
        <f t="shared" si="854"/>
        <v>2358.2394497422924</v>
      </c>
      <c r="AB710" s="61">
        <f t="shared" si="855"/>
        <v>471.6478899484585</v>
      </c>
      <c r="AC710" s="61">
        <v>2860.6424053071373</v>
      </c>
      <c r="AD710" s="81">
        <v>1892.0647474236325</v>
      </c>
      <c r="AE710" s="61">
        <v>1118.9028666017934</v>
      </c>
      <c r="AF710" s="61">
        <v>0</v>
      </c>
      <c r="AG710" s="61">
        <f t="shared" si="856"/>
        <v>650.8740881288727</v>
      </c>
      <c r="AH710" s="64"/>
      <c r="AI710" s="64"/>
      <c r="AJ710" s="51">
        <v>42</v>
      </c>
      <c r="AK710" s="73" t="s">
        <v>42</v>
      </c>
      <c r="AL710" s="278">
        <v>17146</v>
      </c>
      <c r="AM710" s="73" t="s">
        <v>926</v>
      </c>
      <c r="AN710" s="72" t="s">
        <v>901</v>
      </c>
      <c r="AO710" s="65">
        <f t="shared" si="867"/>
        <v>169793.24038144507</v>
      </c>
      <c r="AP710" s="65">
        <f t="shared" si="868"/>
        <v>56597.746793815022</v>
      </c>
      <c r="AQ710" s="65">
        <f t="shared" si="869"/>
        <v>0</v>
      </c>
      <c r="AR710" s="65">
        <f t="shared" si="870"/>
        <v>16983.359428354954</v>
      </c>
      <c r="AS710" s="65">
        <f t="shared" si="871"/>
        <v>0</v>
      </c>
      <c r="AT710" s="65">
        <f t="shared" si="872"/>
        <v>28298.873396907511</v>
      </c>
      <c r="AU710" s="65">
        <f t="shared" si="873"/>
        <v>5659.7746793815022</v>
      </c>
      <c r="AV710" s="65">
        <f t="shared" si="874"/>
        <v>34327.70886368565</v>
      </c>
      <c r="AW710" s="65">
        <f t="shared" si="875"/>
        <v>22704.776969083592</v>
      </c>
      <c r="AX710" s="65">
        <f t="shared" si="876"/>
        <v>13426.834399221521</v>
      </c>
      <c r="AY710" s="65">
        <f t="shared" si="877"/>
        <v>0</v>
      </c>
      <c r="AZ710" s="65">
        <f t="shared" si="878"/>
        <v>7810.4890575464724</v>
      </c>
      <c r="BB710" s="64"/>
      <c r="BC710" s="66"/>
      <c r="BD710" s="66"/>
      <c r="BE710" s="66"/>
    </row>
    <row r="711" spans="2:57" s="364" customFormat="1" ht="21" customHeight="1" x14ac:dyDescent="0.2">
      <c r="B711" s="369">
        <v>43</v>
      </c>
      <c r="C711" s="372" t="s">
        <v>42</v>
      </c>
      <c r="D711" s="365"/>
      <c r="E711" s="391" t="s">
        <v>55</v>
      </c>
      <c r="F711" s="371" t="s">
        <v>901</v>
      </c>
      <c r="G711" s="365"/>
      <c r="H711" s="56"/>
      <c r="I711" s="57">
        <v>9070.1517297780483</v>
      </c>
      <c r="J711" s="58"/>
      <c r="K711" s="58"/>
      <c r="L711" s="59"/>
      <c r="M711" s="60">
        <v>4.0000000000000002E-4</v>
      </c>
      <c r="N711" s="61">
        <f t="shared" si="851"/>
        <v>362.80606919112194</v>
      </c>
      <c r="O711" s="58">
        <f t="shared" si="852"/>
        <v>9432.9577989691697</v>
      </c>
      <c r="P711" s="61">
        <f t="shared" si="880"/>
        <v>18865.915597938339</v>
      </c>
      <c r="Q711" s="61">
        <f t="shared" si="881"/>
        <v>14149.436698453756</v>
      </c>
      <c r="R711" s="61">
        <f t="shared" si="882"/>
        <v>4716.4788994845849</v>
      </c>
      <c r="S711" s="61">
        <f t="shared" si="883"/>
        <v>628.86385326461129</v>
      </c>
      <c r="T711" s="58">
        <f t="shared" si="884"/>
        <v>721.87281716244729</v>
      </c>
      <c r="U711" s="61">
        <f t="shared" si="885"/>
        <v>7074.7183492268778</v>
      </c>
      <c r="V711" s="58">
        <f t="shared" si="886"/>
        <v>2358.2394497422924</v>
      </c>
      <c r="W711" s="62">
        <v>0</v>
      </c>
      <c r="X711" s="63">
        <f t="shared" si="853"/>
        <v>0</v>
      </c>
      <c r="Y711" s="61">
        <v>1415.2799523629128</v>
      </c>
      <c r="Z711" s="61">
        <v>0</v>
      </c>
      <c r="AA711" s="61">
        <f t="shared" si="854"/>
        <v>2358.2394497422924</v>
      </c>
      <c r="AB711" s="61">
        <f t="shared" si="855"/>
        <v>471.6478899484585</v>
      </c>
      <c r="AC711" s="61">
        <v>2860.6424053071373</v>
      </c>
      <c r="AD711" s="81">
        <v>1892.0647474236325</v>
      </c>
      <c r="AE711" s="61">
        <v>1118.9028666017934</v>
      </c>
      <c r="AF711" s="61">
        <v>0</v>
      </c>
      <c r="AG711" s="61">
        <f t="shared" si="856"/>
        <v>650.8740881288727</v>
      </c>
      <c r="AH711" s="64"/>
      <c r="AI711" s="64"/>
      <c r="AJ711" s="369">
        <v>43</v>
      </c>
      <c r="AK711" s="372" t="s">
        <v>42</v>
      </c>
      <c r="AL711" s="365"/>
      <c r="AM711" s="391" t="s">
        <v>55</v>
      </c>
      <c r="AN711" s="371" t="s">
        <v>901</v>
      </c>
      <c r="AO711" s="368">
        <f>Q711*4.5</f>
        <v>63672.465143041904</v>
      </c>
      <c r="AP711" s="368">
        <f>R711*4.5</f>
        <v>21224.155047680633</v>
      </c>
      <c r="AQ711" s="368">
        <f t="shared" ref="AQ711:AZ712" si="887">X711*4.5</f>
        <v>0</v>
      </c>
      <c r="AR711" s="368">
        <f t="shared" si="887"/>
        <v>6368.7597856331076</v>
      </c>
      <c r="AS711" s="368">
        <f t="shared" si="887"/>
        <v>0</v>
      </c>
      <c r="AT711" s="368">
        <f t="shared" si="887"/>
        <v>10612.077523840317</v>
      </c>
      <c r="AU711" s="368">
        <f t="shared" si="887"/>
        <v>2122.4155047680633</v>
      </c>
      <c r="AV711" s="368">
        <f t="shared" si="887"/>
        <v>12872.890823882119</v>
      </c>
      <c r="AW711" s="368">
        <f t="shared" si="887"/>
        <v>8514.2913634063461</v>
      </c>
      <c r="AX711" s="368">
        <f t="shared" si="887"/>
        <v>5035.0628997080703</v>
      </c>
      <c r="AY711" s="368">
        <f t="shared" si="887"/>
        <v>0</v>
      </c>
      <c r="AZ711" s="368">
        <f t="shared" si="887"/>
        <v>2928.9333965799269</v>
      </c>
      <c r="BB711" s="64"/>
      <c r="BC711" s="66"/>
      <c r="BD711" s="66"/>
      <c r="BE711" s="66"/>
    </row>
    <row r="712" spans="2:57" s="364" customFormat="1" ht="21" customHeight="1" x14ac:dyDescent="0.2">
      <c r="B712" s="369">
        <v>44</v>
      </c>
      <c r="C712" s="372" t="s">
        <v>42</v>
      </c>
      <c r="D712" s="365"/>
      <c r="E712" s="391" t="s">
        <v>55</v>
      </c>
      <c r="F712" s="371" t="s">
        <v>901</v>
      </c>
      <c r="G712" s="365"/>
      <c r="H712" s="56"/>
      <c r="I712" s="57">
        <v>9070.1517297780483</v>
      </c>
      <c r="J712" s="58"/>
      <c r="K712" s="58"/>
      <c r="L712" s="59"/>
      <c r="M712" s="60">
        <v>4.0000000000000002E-4</v>
      </c>
      <c r="N712" s="61">
        <f t="shared" si="851"/>
        <v>362.80606919112194</v>
      </c>
      <c r="O712" s="58">
        <f t="shared" si="852"/>
        <v>9432.9577989691697</v>
      </c>
      <c r="P712" s="61">
        <f t="shared" si="880"/>
        <v>18865.915597938339</v>
      </c>
      <c r="Q712" s="61">
        <f t="shared" si="881"/>
        <v>14149.436698453756</v>
      </c>
      <c r="R712" s="61">
        <f t="shared" si="882"/>
        <v>4716.4788994845849</v>
      </c>
      <c r="S712" s="61">
        <f t="shared" si="883"/>
        <v>628.86385326461129</v>
      </c>
      <c r="T712" s="58">
        <f t="shared" si="884"/>
        <v>721.87281716244729</v>
      </c>
      <c r="U712" s="61">
        <f t="shared" si="885"/>
        <v>7074.7183492268778</v>
      </c>
      <c r="V712" s="58">
        <f t="shared" si="886"/>
        <v>2358.2394497422924</v>
      </c>
      <c r="W712" s="62">
        <v>0</v>
      </c>
      <c r="X712" s="63">
        <f t="shared" si="853"/>
        <v>0</v>
      </c>
      <c r="Y712" s="61">
        <v>1415.2799523629128</v>
      </c>
      <c r="Z712" s="61">
        <v>0</v>
      </c>
      <c r="AA712" s="61">
        <f t="shared" si="854"/>
        <v>2358.2394497422924</v>
      </c>
      <c r="AB712" s="61">
        <f t="shared" si="855"/>
        <v>471.6478899484585</v>
      </c>
      <c r="AC712" s="61">
        <v>2860.6424053071373</v>
      </c>
      <c r="AD712" s="81">
        <v>1892.0647474236325</v>
      </c>
      <c r="AE712" s="61">
        <v>1118.9028666017934</v>
      </c>
      <c r="AF712" s="61">
        <v>0</v>
      </c>
      <c r="AG712" s="61">
        <f t="shared" si="856"/>
        <v>650.8740881288727</v>
      </c>
      <c r="AH712" s="64"/>
      <c r="AI712" s="64"/>
      <c r="AJ712" s="369">
        <v>44</v>
      </c>
      <c r="AK712" s="372" t="s">
        <v>42</v>
      </c>
      <c r="AL712" s="365"/>
      <c r="AM712" s="391" t="s">
        <v>55</v>
      </c>
      <c r="AN712" s="371" t="s">
        <v>901</v>
      </c>
      <c r="AO712" s="368">
        <f>Q712*4.5</f>
        <v>63672.465143041904</v>
      </c>
      <c r="AP712" s="368">
        <f>R712*4.5</f>
        <v>21224.155047680633</v>
      </c>
      <c r="AQ712" s="368">
        <f t="shared" si="887"/>
        <v>0</v>
      </c>
      <c r="AR712" s="368">
        <f t="shared" si="887"/>
        <v>6368.7597856331076</v>
      </c>
      <c r="AS712" s="368">
        <f t="shared" si="887"/>
        <v>0</v>
      </c>
      <c r="AT712" s="368">
        <f t="shared" si="887"/>
        <v>10612.077523840317</v>
      </c>
      <c r="AU712" s="368">
        <f t="shared" si="887"/>
        <v>2122.4155047680633</v>
      </c>
      <c r="AV712" s="368">
        <f t="shared" si="887"/>
        <v>12872.890823882119</v>
      </c>
      <c r="AW712" s="368">
        <f t="shared" si="887"/>
        <v>8514.2913634063461</v>
      </c>
      <c r="AX712" s="368">
        <f t="shared" si="887"/>
        <v>5035.0628997080703</v>
      </c>
      <c r="AY712" s="368">
        <f t="shared" si="887"/>
        <v>0</v>
      </c>
      <c r="AZ712" s="368">
        <f t="shared" si="887"/>
        <v>2928.9333965799269</v>
      </c>
      <c r="BB712" s="64"/>
      <c r="BC712" s="66"/>
      <c r="BD712" s="66"/>
      <c r="BE712" s="66"/>
    </row>
    <row r="713" spans="2:57" s="364" customFormat="1" ht="21" customHeight="1" x14ac:dyDescent="0.2">
      <c r="B713" s="369">
        <v>45</v>
      </c>
      <c r="C713" s="372" t="s">
        <v>42</v>
      </c>
      <c r="D713" s="365"/>
      <c r="E713" s="430" t="s">
        <v>55</v>
      </c>
      <c r="F713" s="371" t="s">
        <v>901</v>
      </c>
      <c r="G713" s="55"/>
      <c r="H713" s="56"/>
      <c r="I713" s="57">
        <v>9070.1517297780483</v>
      </c>
      <c r="J713" s="58"/>
      <c r="K713" s="58"/>
      <c r="L713" s="59"/>
      <c r="M713" s="60">
        <v>4.0000000000000002E-4</v>
      </c>
      <c r="N713" s="61">
        <f t="shared" si="851"/>
        <v>362.80606919112194</v>
      </c>
      <c r="O713" s="58">
        <f t="shared" si="852"/>
        <v>9432.9577989691697</v>
      </c>
      <c r="P713" s="61">
        <f t="shared" si="880"/>
        <v>18865.915597938339</v>
      </c>
      <c r="Q713" s="61">
        <f t="shared" si="881"/>
        <v>14149.436698453756</v>
      </c>
      <c r="R713" s="61">
        <f t="shared" si="882"/>
        <v>4716.4788994845849</v>
      </c>
      <c r="S713" s="61">
        <f t="shared" si="883"/>
        <v>628.86385326461129</v>
      </c>
      <c r="T713" s="58">
        <f t="shared" si="884"/>
        <v>721.87281716244729</v>
      </c>
      <c r="U713" s="61">
        <f t="shared" si="885"/>
        <v>7074.7183492268778</v>
      </c>
      <c r="V713" s="58">
        <f t="shared" si="886"/>
        <v>2358.2394497422924</v>
      </c>
      <c r="W713" s="62">
        <v>0</v>
      </c>
      <c r="X713" s="63">
        <f t="shared" si="853"/>
        <v>0</v>
      </c>
      <c r="Y713" s="61">
        <v>1415.2799523629128</v>
      </c>
      <c r="Z713" s="61">
        <v>0</v>
      </c>
      <c r="AA713" s="61">
        <f t="shared" si="854"/>
        <v>2358.2394497422924</v>
      </c>
      <c r="AB713" s="61">
        <f t="shared" si="855"/>
        <v>471.6478899484585</v>
      </c>
      <c r="AC713" s="61">
        <v>2860.6424053071373</v>
      </c>
      <c r="AD713" s="81">
        <v>1892.0647474236325</v>
      </c>
      <c r="AE713" s="61">
        <v>1118.9028666017934</v>
      </c>
      <c r="AF713" s="61">
        <v>0</v>
      </c>
      <c r="AG713" s="61">
        <f t="shared" si="856"/>
        <v>650.8740881288727</v>
      </c>
      <c r="AH713" s="64"/>
      <c r="AI713" s="64"/>
      <c r="AJ713" s="369">
        <v>45</v>
      </c>
      <c r="AK713" s="372" t="s">
        <v>42</v>
      </c>
      <c r="AL713" s="365"/>
      <c r="AM713" s="430" t="s">
        <v>55</v>
      </c>
      <c r="AN713" s="371" t="s">
        <v>901</v>
      </c>
      <c r="AO713" s="368">
        <f>Q713*9.5</f>
        <v>134419.64863531067</v>
      </c>
      <c r="AP713" s="368">
        <f>R713*9.5</f>
        <v>44806.549545103553</v>
      </c>
      <c r="AQ713" s="368">
        <f t="shared" ref="AQ713:AZ714" si="888">X713*9.5</f>
        <v>0</v>
      </c>
      <c r="AR713" s="368">
        <f t="shared" si="888"/>
        <v>13445.159547447671</v>
      </c>
      <c r="AS713" s="368">
        <f t="shared" si="888"/>
        <v>0</v>
      </c>
      <c r="AT713" s="368">
        <f t="shared" si="888"/>
        <v>22403.274772551777</v>
      </c>
      <c r="AU713" s="368">
        <f t="shared" si="888"/>
        <v>4480.6549545103553</v>
      </c>
      <c r="AV713" s="368">
        <f t="shared" si="888"/>
        <v>27176.102850417803</v>
      </c>
      <c r="AW713" s="368">
        <f t="shared" si="888"/>
        <v>17974.615100524508</v>
      </c>
      <c r="AX713" s="368">
        <f t="shared" si="888"/>
        <v>10629.577232717038</v>
      </c>
      <c r="AY713" s="368">
        <f t="shared" si="888"/>
        <v>0</v>
      </c>
      <c r="AZ713" s="368">
        <f t="shared" si="888"/>
        <v>6183.3038372242909</v>
      </c>
      <c r="BB713" s="64"/>
      <c r="BC713" s="66"/>
      <c r="BD713" s="66"/>
      <c r="BE713" s="66"/>
    </row>
    <row r="714" spans="2:57" s="364" customFormat="1" ht="21" customHeight="1" x14ac:dyDescent="0.2">
      <c r="B714" s="369">
        <v>46</v>
      </c>
      <c r="C714" s="372" t="s">
        <v>42</v>
      </c>
      <c r="D714" s="365"/>
      <c r="E714" s="375" t="s">
        <v>55</v>
      </c>
      <c r="F714" s="371" t="s">
        <v>901</v>
      </c>
      <c r="G714" s="55"/>
      <c r="H714" s="56"/>
      <c r="I714" s="57">
        <v>9070.1517297780483</v>
      </c>
      <c r="J714" s="58"/>
      <c r="K714" s="58"/>
      <c r="L714" s="59"/>
      <c r="M714" s="60">
        <v>4.0000000000000002E-4</v>
      </c>
      <c r="N714" s="61">
        <f t="shared" si="851"/>
        <v>362.80606919112194</v>
      </c>
      <c r="O714" s="58">
        <f t="shared" si="852"/>
        <v>9432.9577989691697</v>
      </c>
      <c r="P714" s="61">
        <f t="shared" si="880"/>
        <v>18865.915597938339</v>
      </c>
      <c r="Q714" s="61">
        <f t="shared" si="881"/>
        <v>14149.436698453756</v>
      </c>
      <c r="R714" s="61">
        <f t="shared" si="882"/>
        <v>4716.4788994845849</v>
      </c>
      <c r="S714" s="61">
        <f t="shared" si="883"/>
        <v>628.86385326461129</v>
      </c>
      <c r="T714" s="58">
        <f t="shared" si="884"/>
        <v>721.87281716244729</v>
      </c>
      <c r="U714" s="61">
        <f t="shared" si="885"/>
        <v>7074.7183492268778</v>
      </c>
      <c r="V714" s="58">
        <f t="shared" si="886"/>
        <v>2358.2394497422924</v>
      </c>
      <c r="W714" s="62">
        <v>0</v>
      </c>
      <c r="X714" s="63">
        <f t="shared" si="853"/>
        <v>0</v>
      </c>
      <c r="Y714" s="61">
        <v>1415.2799523629128</v>
      </c>
      <c r="Z714" s="61">
        <v>0</v>
      </c>
      <c r="AA714" s="61">
        <f t="shared" si="854"/>
        <v>2358.2394497422924</v>
      </c>
      <c r="AB714" s="61">
        <f t="shared" si="855"/>
        <v>471.6478899484585</v>
      </c>
      <c r="AC714" s="61">
        <v>2860.6424053071373</v>
      </c>
      <c r="AD714" s="81">
        <v>1892.0647474236325</v>
      </c>
      <c r="AE714" s="61">
        <v>1118.9028666017934</v>
      </c>
      <c r="AF714" s="61">
        <v>0</v>
      </c>
      <c r="AG714" s="61">
        <f t="shared" si="856"/>
        <v>650.8740881288727</v>
      </c>
      <c r="AH714" s="64"/>
      <c r="AI714" s="64"/>
      <c r="AJ714" s="369">
        <v>46</v>
      </c>
      <c r="AK714" s="372" t="s">
        <v>42</v>
      </c>
      <c r="AL714" s="365"/>
      <c r="AM714" s="375" t="s">
        <v>55</v>
      </c>
      <c r="AN714" s="371" t="s">
        <v>901</v>
      </c>
      <c r="AO714" s="368">
        <f>Q714*9.5</f>
        <v>134419.64863531067</v>
      </c>
      <c r="AP714" s="368">
        <f>R714*9.5</f>
        <v>44806.549545103553</v>
      </c>
      <c r="AQ714" s="368">
        <f t="shared" si="888"/>
        <v>0</v>
      </c>
      <c r="AR714" s="368">
        <f t="shared" si="888"/>
        <v>13445.159547447671</v>
      </c>
      <c r="AS714" s="368">
        <f t="shared" si="888"/>
        <v>0</v>
      </c>
      <c r="AT714" s="368">
        <f t="shared" si="888"/>
        <v>22403.274772551777</v>
      </c>
      <c r="AU714" s="368">
        <f t="shared" si="888"/>
        <v>4480.6549545103553</v>
      </c>
      <c r="AV714" s="368">
        <f t="shared" si="888"/>
        <v>27176.102850417803</v>
      </c>
      <c r="AW714" s="368">
        <f t="shared" si="888"/>
        <v>17974.615100524508</v>
      </c>
      <c r="AX714" s="368">
        <f t="shared" si="888"/>
        <v>10629.577232717038</v>
      </c>
      <c r="AY714" s="368">
        <f t="shared" si="888"/>
        <v>0</v>
      </c>
      <c r="AZ714" s="368">
        <f t="shared" si="888"/>
        <v>6183.3038372242909</v>
      </c>
      <c r="BB714" s="64"/>
      <c r="BC714" s="66"/>
      <c r="BD714" s="66"/>
      <c r="BE714" s="66"/>
    </row>
    <row r="715" spans="2:57" s="364" customFormat="1" ht="21" customHeight="1" x14ac:dyDescent="0.2">
      <c r="B715" s="369">
        <v>47</v>
      </c>
      <c r="C715" s="372" t="s">
        <v>42</v>
      </c>
      <c r="D715" s="396">
        <v>1646</v>
      </c>
      <c r="E715" s="372" t="s">
        <v>927</v>
      </c>
      <c r="F715" s="371" t="s">
        <v>928</v>
      </c>
      <c r="G715" s="384">
        <v>45495</v>
      </c>
      <c r="H715" s="55"/>
      <c r="I715" s="57">
        <v>7822.9623119463167</v>
      </c>
      <c r="J715" s="58"/>
      <c r="K715" s="58"/>
      <c r="L715" s="59"/>
      <c r="M715" s="60">
        <v>4.0000000000000002E-4</v>
      </c>
      <c r="N715" s="61">
        <f t="shared" si="851"/>
        <v>312.91849247785268</v>
      </c>
      <c r="O715" s="58">
        <f t="shared" si="852"/>
        <v>8135.8808044241696</v>
      </c>
      <c r="P715" s="61">
        <f t="shared" si="880"/>
        <v>16271.761608848339</v>
      </c>
      <c r="Q715" s="61">
        <f t="shared" si="881"/>
        <v>12203.821206636254</v>
      </c>
      <c r="R715" s="61">
        <f t="shared" si="882"/>
        <v>4067.9404022120848</v>
      </c>
      <c r="S715" s="61">
        <f t="shared" si="883"/>
        <v>542.39205362827795</v>
      </c>
      <c r="T715" s="58">
        <f t="shared" si="884"/>
        <v>622.61183835990016</v>
      </c>
      <c r="U715" s="61">
        <f t="shared" si="885"/>
        <v>6101.910603318127</v>
      </c>
      <c r="V715" s="58">
        <f t="shared" si="886"/>
        <v>2033.9702011060424</v>
      </c>
      <c r="W715" s="62">
        <v>0</v>
      </c>
      <c r="X715" s="63">
        <f t="shared" si="853"/>
        <v>0</v>
      </c>
      <c r="Y715" s="61">
        <v>1077.5681930618007</v>
      </c>
      <c r="Z715" s="61">
        <v>0</v>
      </c>
      <c r="AA715" s="61">
        <f t="shared" si="854"/>
        <v>2033.9702011060424</v>
      </c>
      <c r="AB715" s="61">
        <f t="shared" si="855"/>
        <v>406.79404022120849</v>
      </c>
      <c r="AC715" s="61">
        <v>2542.6980454117233</v>
      </c>
      <c r="AD715" s="61">
        <v>1631.8967589332165</v>
      </c>
      <c r="AE715" s="61">
        <v>965.04834945784535</v>
      </c>
      <c r="AF715" s="61">
        <v>0</v>
      </c>
      <c r="AG715" s="61">
        <f t="shared" si="856"/>
        <v>561.3757755052676</v>
      </c>
      <c r="AH715" s="64"/>
      <c r="AI715" s="64"/>
      <c r="AJ715" s="369">
        <v>47</v>
      </c>
      <c r="AK715" s="372" t="s">
        <v>42</v>
      </c>
      <c r="AL715" s="396">
        <v>1646</v>
      </c>
      <c r="AM715" s="372" t="s">
        <v>927</v>
      </c>
      <c r="AN715" s="371" t="s">
        <v>928</v>
      </c>
      <c r="AO715" s="368">
        <f>Q715*12</f>
        <v>146445.85447963505</v>
      </c>
      <c r="AP715" s="368">
        <f>R715*12</f>
        <v>48815.284826545016</v>
      </c>
      <c r="AQ715" s="368">
        <f t="shared" ref="AQ715:AZ715" si="889">X715*12</f>
        <v>0</v>
      </c>
      <c r="AR715" s="368">
        <f t="shared" si="889"/>
        <v>12930.818316741608</v>
      </c>
      <c r="AS715" s="368">
        <f t="shared" si="889"/>
        <v>0</v>
      </c>
      <c r="AT715" s="368">
        <f t="shared" si="889"/>
        <v>24407.642413272508</v>
      </c>
      <c r="AU715" s="368">
        <f t="shared" si="889"/>
        <v>4881.5284826545021</v>
      </c>
      <c r="AV715" s="368">
        <f t="shared" si="889"/>
        <v>30512.376544940678</v>
      </c>
      <c r="AW715" s="368">
        <f t="shared" si="889"/>
        <v>19582.761107198596</v>
      </c>
      <c r="AX715" s="368">
        <f t="shared" si="889"/>
        <v>11580.580193494145</v>
      </c>
      <c r="AY715" s="368">
        <f t="shared" si="889"/>
        <v>0</v>
      </c>
      <c r="AZ715" s="368">
        <f t="shared" si="889"/>
        <v>6736.5093060632116</v>
      </c>
      <c r="BB715" s="64"/>
      <c r="BC715" s="66"/>
      <c r="BD715" s="66"/>
      <c r="BE715" s="66"/>
    </row>
    <row r="716" spans="2:57" ht="21" customHeight="1" x14ac:dyDescent="0.2">
      <c r="B716" s="51">
        <v>48</v>
      </c>
      <c r="C716" s="73" t="s">
        <v>42</v>
      </c>
      <c r="D716" s="67">
        <v>16632</v>
      </c>
      <c r="E716" s="206" t="s">
        <v>929</v>
      </c>
      <c r="F716" s="72" t="s">
        <v>928</v>
      </c>
      <c r="G716" s="157">
        <v>45323</v>
      </c>
      <c r="H716" s="56"/>
      <c r="I716" s="57">
        <v>7822.9623119463167</v>
      </c>
      <c r="J716" s="58"/>
      <c r="K716" s="58"/>
      <c r="L716" s="59"/>
      <c r="M716" s="60">
        <v>4.0000000000000002E-4</v>
      </c>
      <c r="N716" s="61">
        <f t="shared" si="851"/>
        <v>312.91849247785268</v>
      </c>
      <c r="O716" s="58">
        <f t="shared" si="852"/>
        <v>8135.8808044241696</v>
      </c>
      <c r="P716" s="61">
        <f t="shared" si="880"/>
        <v>16271.761608848339</v>
      </c>
      <c r="Q716" s="61">
        <f t="shared" si="881"/>
        <v>12203.821206636254</v>
      </c>
      <c r="R716" s="61">
        <f t="shared" si="882"/>
        <v>4067.9404022120848</v>
      </c>
      <c r="S716" s="61">
        <f t="shared" si="883"/>
        <v>542.39205362827795</v>
      </c>
      <c r="T716" s="58">
        <f t="shared" si="884"/>
        <v>622.61183835990016</v>
      </c>
      <c r="U716" s="61">
        <f t="shared" si="885"/>
        <v>6101.910603318127</v>
      </c>
      <c r="V716" s="58">
        <f t="shared" si="886"/>
        <v>2033.9702011060424</v>
      </c>
      <c r="W716" s="62">
        <v>0</v>
      </c>
      <c r="X716" s="63">
        <f t="shared" si="853"/>
        <v>0</v>
      </c>
      <c r="Y716" s="61">
        <v>1077.5681930618007</v>
      </c>
      <c r="Z716" s="61">
        <v>0</v>
      </c>
      <c r="AA716" s="61">
        <f t="shared" si="854"/>
        <v>2033.9702011060424</v>
      </c>
      <c r="AB716" s="61">
        <f t="shared" si="855"/>
        <v>406.79404022120849</v>
      </c>
      <c r="AC716" s="61">
        <v>2542.6980454117233</v>
      </c>
      <c r="AD716" s="61">
        <v>1631.8967589332165</v>
      </c>
      <c r="AE716" s="61">
        <v>965.04834945784535</v>
      </c>
      <c r="AF716" s="61">
        <v>0</v>
      </c>
      <c r="AG716" s="61">
        <f t="shared" si="856"/>
        <v>561.3757755052676</v>
      </c>
      <c r="AH716" s="64"/>
      <c r="AI716" s="64"/>
      <c r="AJ716" s="51">
        <v>48</v>
      </c>
      <c r="AK716" s="73" t="s">
        <v>42</v>
      </c>
      <c r="AL716" s="67">
        <v>16632</v>
      </c>
      <c r="AM716" s="206" t="s">
        <v>929</v>
      </c>
      <c r="AN716" s="72" t="s">
        <v>928</v>
      </c>
      <c r="AO716" s="65">
        <f>Q716*11</f>
        <v>134242.03327299879</v>
      </c>
      <c r="AP716" s="65">
        <f>R716*11</f>
        <v>44747.344424332936</v>
      </c>
      <c r="AQ716" s="65">
        <f t="shared" ref="AQ716:AZ716" si="890">X716*11</f>
        <v>0</v>
      </c>
      <c r="AR716" s="65">
        <f t="shared" si="890"/>
        <v>11853.250123679807</v>
      </c>
      <c r="AS716" s="65">
        <f t="shared" si="890"/>
        <v>0</v>
      </c>
      <c r="AT716" s="65">
        <f t="shared" si="890"/>
        <v>22373.672212166468</v>
      </c>
      <c r="AU716" s="65">
        <f t="shared" si="890"/>
        <v>4474.7344424332932</v>
      </c>
      <c r="AV716" s="65">
        <f t="shared" si="890"/>
        <v>27969.678499528956</v>
      </c>
      <c r="AW716" s="65">
        <f t="shared" si="890"/>
        <v>17950.864348265382</v>
      </c>
      <c r="AX716" s="65">
        <f t="shared" si="890"/>
        <v>10615.531844036299</v>
      </c>
      <c r="AY716" s="65">
        <f t="shared" si="890"/>
        <v>0</v>
      </c>
      <c r="AZ716" s="65">
        <f t="shared" si="890"/>
        <v>6175.1335305579432</v>
      </c>
      <c r="BB716" s="64"/>
      <c r="BC716" s="66"/>
      <c r="BD716" s="66"/>
      <c r="BE716" s="66"/>
    </row>
    <row r="717" spans="2:57" ht="21" customHeight="1" x14ac:dyDescent="0.2">
      <c r="B717" s="51">
        <v>49</v>
      </c>
      <c r="C717" s="73" t="s">
        <v>42</v>
      </c>
      <c r="D717" s="67">
        <v>16570</v>
      </c>
      <c r="E717" s="73" t="s">
        <v>930</v>
      </c>
      <c r="F717" s="72" t="s">
        <v>928</v>
      </c>
      <c r="G717" s="169">
        <v>44181</v>
      </c>
      <c r="H717" s="56" t="str">
        <f t="shared" ref="H717:H723" si="891" xml:space="preserve"> CONCATENATE(DATEDIF(G717,H$5,"Y")," AÑOS")</f>
        <v>4 AÑOS</v>
      </c>
      <c r="I717" s="57">
        <v>7822.9623119463167</v>
      </c>
      <c r="J717" s="58"/>
      <c r="K717" s="58"/>
      <c r="L717" s="59"/>
      <c r="M717" s="60">
        <v>4.0000000000000002E-4</v>
      </c>
      <c r="N717" s="61">
        <f t="shared" si="851"/>
        <v>312.91849247785268</v>
      </c>
      <c r="O717" s="58">
        <f t="shared" si="852"/>
        <v>8135.8808044241696</v>
      </c>
      <c r="P717" s="61">
        <f t="shared" si="880"/>
        <v>16271.761608848339</v>
      </c>
      <c r="Q717" s="61">
        <f t="shared" si="881"/>
        <v>12203.821206636254</v>
      </c>
      <c r="R717" s="61">
        <f t="shared" si="882"/>
        <v>4067.9404022120848</v>
      </c>
      <c r="S717" s="61">
        <f t="shared" si="883"/>
        <v>542.39205362827795</v>
      </c>
      <c r="T717" s="58">
        <f t="shared" si="884"/>
        <v>622.61183835990016</v>
      </c>
      <c r="U717" s="61">
        <f t="shared" si="885"/>
        <v>6101.910603318127</v>
      </c>
      <c r="V717" s="58">
        <f t="shared" si="886"/>
        <v>2033.9702011060424</v>
      </c>
      <c r="W717" s="62">
        <v>0</v>
      </c>
      <c r="X717" s="63">
        <f t="shared" si="853"/>
        <v>0</v>
      </c>
      <c r="Y717" s="61">
        <v>1077.5681930618007</v>
      </c>
      <c r="Z717" s="61">
        <v>0</v>
      </c>
      <c r="AA717" s="61">
        <f t="shared" si="854"/>
        <v>2033.9702011060424</v>
      </c>
      <c r="AB717" s="61">
        <f t="shared" si="855"/>
        <v>406.79404022120849</v>
      </c>
      <c r="AC717" s="61">
        <v>2542.6980454117233</v>
      </c>
      <c r="AD717" s="61">
        <v>1631.8967589332165</v>
      </c>
      <c r="AE717" s="61">
        <v>965.04834945784535</v>
      </c>
      <c r="AF717" s="61">
        <v>0</v>
      </c>
      <c r="AG717" s="61">
        <f t="shared" si="856"/>
        <v>561.3757755052676</v>
      </c>
      <c r="AH717" s="64"/>
      <c r="AI717" s="64"/>
      <c r="AJ717" s="51">
        <v>49</v>
      </c>
      <c r="AK717" s="73" t="s">
        <v>42</v>
      </c>
      <c r="AL717" s="67">
        <v>16570</v>
      </c>
      <c r="AM717" s="73" t="s">
        <v>930</v>
      </c>
      <c r="AN717" s="72" t="s">
        <v>928</v>
      </c>
      <c r="AO717" s="65">
        <f t="shared" ref="AO717:AP723" si="892">Q717*12</f>
        <v>146445.85447963505</v>
      </c>
      <c r="AP717" s="65">
        <f t="shared" si="892"/>
        <v>48815.284826545016</v>
      </c>
      <c r="AQ717" s="65">
        <f t="shared" ref="AQ717:AZ723" si="893">X717*12</f>
        <v>0</v>
      </c>
      <c r="AR717" s="65">
        <f t="shared" si="893"/>
        <v>12930.818316741608</v>
      </c>
      <c r="AS717" s="65">
        <f t="shared" si="893"/>
        <v>0</v>
      </c>
      <c r="AT717" s="65">
        <f t="shared" si="893"/>
        <v>24407.642413272508</v>
      </c>
      <c r="AU717" s="65">
        <f t="shared" si="893"/>
        <v>4881.5284826545021</v>
      </c>
      <c r="AV717" s="65">
        <f t="shared" si="893"/>
        <v>30512.376544940678</v>
      </c>
      <c r="AW717" s="65">
        <f t="shared" si="893"/>
        <v>19582.761107198596</v>
      </c>
      <c r="AX717" s="65">
        <f t="shared" si="893"/>
        <v>11580.580193494145</v>
      </c>
      <c r="AY717" s="65">
        <f t="shared" si="893"/>
        <v>0</v>
      </c>
      <c r="AZ717" s="65">
        <f t="shared" si="893"/>
        <v>6736.5093060632116</v>
      </c>
      <c r="BB717" s="64"/>
      <c r="BC717" s="66"/>
      <c r="BD717" s="66"/>
      <c r="BE717" s="66"/>
    </row>
    <row r="718" spans="2:57" ht="21" customHeight="1" x14ac:dyDescent="0.2">
      <c r="B718" s="51">
        <v>50</v>
      </c>
      <c r="C718" s="73" t="s">
        <v>42</v>
      </c>
      <c r="D718" s="67">
        <v>16523</v>
      </c>
      <c r="E718" s="73" t="s">
        <v>931</v>
      </c>
      <c r="F718" s="72" t="s">
        <v>928</v>
      </c>
      <c r="G718" s="55">
        <v>43556</v>
      </c>
      <c r="H718" s="56" t="str">
        <f t="shared" si="891"/>
        <v>5 AÑOS</v>
      </c>
      <c r="I718" s="57">
        <v>7822.9623119463167</v>
      </c>
      <c r="J718" s="58"/>
      <c r="K718" s="58"/>
      <c r="L718" s="59"/>
      <c r="M718" s="60">
        <v>4.0000000000000002E-4</v>
      </c>
      <c r="N718" s="61">
        <f t="shared" si="851"/>
        <v>312.91849247785268</v>
      </c>
      <c r="O718" s="58">
        <f t="shared" si="852"/>
        <v>8135.8808044241696</v>
      </c>
      <c r="P718" s="61">
        <f t="shared" si="880"/>
        <v>16271.761608848339</v>
      </c>
      <c r="Q718" s="61">
        <f t="shared" si="881"/>
        <v>12203.821206636254</v>
      </c>
      <c r="R718" s="61">
        <f t="shared" si="882"/>
        <v>4067.9404022120848</v>
      </c>
      <c r="S718" s="61">
        <f t="shared" si="883"/>
        <v>542.39205362827795</v>
      </c>
      <c r="T718" s="58">
        <f t="shared" si="884"/>
        <v>622.61183835990016</v>
      </c>
      <c r="U718" s="61">
        <f t="shared" si="885"/>
        <v>6101.910603318127</v>
      </c>
      <c r="V718" s="58">
        <f t="shared" si="886"/>
        <v>2033.9702011060424</v>
      </c>
      <c r="W718" s="62">
        <v>0</v>
      </c>
      <c r="X718" s="63">
        <f t="shared" si="853"/>
        <v>0</v>
      </c>
      <c r="Y718" s="61">
        <v>1077.5681930618007</v>
      </c>
      <c r="Z718" s="61">
        <v>0</v>
      </c>
      <c r="AA718" s="61">
        <f t="shared" si="854"/>
        <v>2033.9702011060424</v>
      </c>
      <c r="AB718" s="61">
        <f t="shared" si="855"/>
        <v>406.79404022120849</v>
      </c>
      <c r="AC718" s="61">
        <v>2542.6980454117233</v>
      </c>
      <c r="AD718" s="61">
        <v>1631.8967589332165</v>
      </c>
      <c r="AE718" s="61">
        <v>965.04834945784535</v>
      </c>
      <c r="AF718" s="61">
        <v>0</v>
      </c>
      <c r="AG718" s="61">
        <f t="shared" si="856"/>
        <v>561.3757755052676</v>
      </c>
      <c r="AH718" s="64"/>
      <c r="AI718" s="64"/>
      <c r="AJ718" s="51">
        <v>50</v>
      </c>
      <c r="AK718" s="73" t="s">
        <v>42</v>
      </c>
      <c r="AL718" s="67">
        <v>16523</v>
      </c>
      <c r="AM718" s="73" t="s">
        <v>931</v>
      </c>
      <c r="AN718" s="72" t="s">
        <v>928</v>
      </c>
      <c r="AO718" s="65">
        <f t="shared" si="892"/>
        <v>146445.85447963505</v>
      </c>
      <c r="AP718" s="65">
        <f t="shared" si="892"/>
        <v>48815.284826545016</v>
      </c>
      <c r="AQ718" s="65">
        <f t="shared" si="893"/>
        <v>0</v>
      </c>
      <c r="AR718" s="65">
        <f t="shared" si="893"/>
        <v>12930.818316741608</v>
      </c>
      <c r="AS718" s="65">
        <f t="shared" si="893"/>
        <v>0</v>
      </c>
      <c r="AT718" s="65">
        <f t="shared" si="893"/>
        <v>24407.642413272508</v>
      </c>
      <c r="AU718" s="65">
        <f t="shared" si="893"/>
        <v>4881.5284826545021</v>
      </c>
      <c r="AV718" s="65">
        <f t="shared" si="893"/>
        <v>30512.376544940678</v>
      </c>
      <c r="AW718" s="65">
        <f t="shared" si="893"/>
        <v>19582.761107198596</v>
      </c>
      <c r="AX718" s="65">
        <f t="shared" si="893"/>
        <v>11580.580193494145</v>
      </c>
      <c r="AY718" s="65">
        <f t="shared" si="893"/>
        <v>0</v>
      </c>
      <c r="AZ718" s="65">
        <f t="shared" si="893"/>
        <v>6736.5093060632116</v>
      </c>
      <c r="BB718" s="64"/>
      <c r="BC718" s="66"/>
      <c r="BD718" s="66"/>
      <c r="BE718" s="66"/>
    </row>
    <row r="719" spans="2:57" ht="21" customHeight="1" x14ac:dyDescent="0.2">
      <c r="B719" s="51">
        <v>51</v>
      </c>
      <c r="C719" s="73" t="s">
        <v>42</v>
      </c>
      <c r="D719" s="67">
        <v>16594</v>
      </c>
      <c r="E719" s="73" t="s">
        <v>932</v>
      </c>
      <c r="F719" s="72" t="s">
        <v>928</v>
      </c>
      <c r="G719" s="157">
        <v>44363</v>
      </c>
      <c r="H719" s="56" t="str">
        <f t="shared" si="891"/>
        <v>3 AÑOS</v>
      </c>
      <c r="I719" s="57">
        <v>7822.9623119463167</v>
      </c>
      <c r="J719" s="58"/>
      <c r="K719" s="58"/>
      <c r="L719" s="59"/>
      <c r="M719" s="60">
        <v>4.0000000000000002E-4</v>
      </c>
      <c r="N719" s="61">
        <f t="shared" si="851"/>
        <v>312.91849247785268</v>
      </c>
      <c r="O719" s="58">
        <f t="shared" si="852"/>
        <v>8135.8808044241696</v>
      </c>
      <c r="P719" s="61">
        <f t="shared" si="880"/>
        <v>16271.761608848339</v>
      </c>
      <c r="Q719" s="61">
        <f t="shared" si="881"/>
        <v>12203.821206636254</v>
      </c>
      <c r="R719" s="61">
        <f t="shared" si="882"/>
        <v>4067.9404022120848</v>
      </c>
      <c r="S719" s="61">
        <f t="shared" si="883"/>
        <v>542.39205362827795</v>
      </c>
      <c r="T719" s="58">
        <f t="shared" si="884"/>
        <v>622.61183835990016</v>
      </c>
      <c r="U719" s="61">
        <f t="shared" si="885"/>
        <v>6101.910603318127</v>
      </c>
      <c r="V719" s="58">
        <f t="shared" si="886"/>
        <v>2033.9702011060424</v>
      </c>
      <c r="W719" s="62">
        <v>0</v>
      </c>
      <c r="X719" s="63">
        <f t="shared" si="853"/>
        <v>0</v>
      </c>
      <c r="Y719" s="61">
        <v>1077.5681930618007</v>
      </c>
      <c r="Z719" s="61">
        <v>0</v>
      </c>
      <c r="AA719" s="61">
        <f t="shared" si="854"/>
        <v>2033.9702011060424</v>
      </c>
      <c r="AB719" s="61">
        <f t="shared" si="855"/>
        <v>406.79404022120849</v>
      </c>
      <c r="AC719" s="61">
        <v>2542.6980454117233</v>
      </c>
      <c r="AD719" s="61">
        <v>1631.8967589332165</v>
      </c>
      <c r="AE719" s="61">
        <v>965.04834945784535</v>
      </c>
      <c r="AF719" s="61">
        <v>0</v>
      </c>
      <c r="AG719" s="61">
        <f t="shared" si="856"/>
        <v>561.3757755052676</v>
      </c>
      <c r="AH719" s="64"/>
      <c r="AI719" s="64"/>
      <c r="AJ719" s="51">
        <v>51</v>
      </c>
      <c r="AK719" s="73" t="s">
        <v>42</v>
      </c>
      <c r="AL719" s="67">
        <v>16594</v>
      </c>
      <c r="AM719" s="73" t="s">
        <v>932</v>
      </c>
      <c r="AN719" s="72" t="s">
        <v>928</v>
      </c>
      <c r="AO719" s="65">
        <f t="shared" si="892"/>
        <v>146445.85447963505</v>
      </c>
      <c r="AP719" s="65">
        <f t="shared" si="892"/>
        <v>48815.284826545016</v>
      </c>
      <c r="AQ719" s="65">
        <f t="shared" si="893"/>
        <v>0</v>
      </c>
      <c r="AR719" s="65">
        <f t="shared" si="893"/>
        <v>12930.818316741608</v>
      </c>
      <c r="AS719" s="65">
        <f t="shared" si="893"/>
        <v>0</v>
      </c>
      <c r="AT719" s="65">
        <f t="shared" si="893"/>
        <v>24407.642413272508</v>
      </c>
      <c r="AU719" s="65">
        <f t="shared" si="893"/>
        <v>4881.5284826545021</v>
      </c>
      <c r="AV719" s="65">
        <f t="shared" si="893"/>
        <v>30512.376544940678</v>
      </c>
      <c r="AW719" s="65">
        <f t="shared" si="893"/>
        <v>19582.761107198596</v>
      </c>
      <c r="AX719" s="65">
        <f t="shared" si="893"/>
        <v>11580.580193494145</v>
      </c>
      <c r="AY719" s="65">
        <f t="shared" si="893"/>
        <v>0</v>
      </c>
      <c r="AZ719" s="65">
        <f t="shared" si="893"/>
        <v>6736.5093060632116</v>
      </c>
      <c r="BB719" s="64"/>
      <c r="BC719" s="66"/>
      <c r="BD719" s="66"/>
      <c r="BE719" s="66"/>
    </row>
    <row r="720" spans="2:57" ht="21" customHeight="1" x14ac:dyDescent="0.2">
      <c r="B720" s="51">
        <v>52</v>
      </c>
      <c r="C720" s="73" t="s">
        <v>42</v>
      </c>
      <c r="D720" s="67">
        <v>16571</v>
      </c>
      <c r="E720" s="72" t="s">
        <v>933</v>
      </c>
      <c r="F720" s="72" t="s">
        <v>928</v>
      </c>
      <c r="G720" s="169">
        <v>44013</v>
      </c>
      <c r="H720" s="56" t="str">
        <f t="shared" si="891"/>
        <v>4 AÑOS</v>
      </c>
      <c r="I720" s="57">
        <v>7822.9623119463167</v>
      </c>
      <c r="J720" s="58"/>
      <c r="K720" s="58"/>
      <c r="L720" s="59"/>
      <c r="M720" s="60">
        <v>4.0000000000000002E-4</v>
      </c>
      <c r="N720" s="61">
        <f t="shared" si="851"/>
        <v>312.91849247785268</v>
      </c>
      <c r="O720" s="58">
        <f t="shared" si="852"/>
        <v>8135.8808044241696</v>
      </c>
      <c r="P720" s="61">
        <f t="shared" si="880"/>
        <v>16271.761608848339</v>
      </c>
      <c r="Q720" s="61">
        <f t="shared" si="881"/>
        <v>12203.821206636254</v>
      </c>
      <c r="R720" s="61">
        <f t="shared" si="882"/>
        <v>4067.9404022120848</v>
      </c>
      <c r="S720" s="61">
        <f t="shared" si="883"/>
        <v>542.39205362827795</v>
      </c>
      <c r="T720" s="58">
        <f t="shared" si="884"/>
        <v>622.61183835990016</v>
      </c>
      <c r="U720" s="61">
        <f t="shared" si="885"/>
        <v>6101.910603318127</v>
      </c>
      <c r="V720" s="58">
        <f t="shared" si="886"/>
        <v>2033.9702011060424</v>
      </c>
      <c r="W720" s="62">
        <v>0</v>
      </c>
      <c r="X720" s="63">
        <f t="shared" si="853"/>
        <v>0</v>
      </c>
      <c r="Y720" s="61">
        <v>1077.5681930618007</v>
      </c>
      <c r="Z720" s="61">
        <v>0</v>
      </c>
      <c r="AA720" s="61">
        <f t="shared" si="854"/>
        <v>2033.9702011060424</v>
      </c>
      <c r="AB720" s="61">
        <f t="shared" si="855"/>
        <v>406.79404022120849</v>
      </c>
      <c r="AC720" s="61">
        <v>2542.6980454117233</v>
      </c>
      <c r="AD720" s="61">
        <v>1631.8967589332165</v>
      </c>
      <c r="AE720" s="61">
        <v>965.04834945784535</v>
      </c>
      <c r="AF720" s="61">
        <v>0</v>
      </c>
      <c r="AG720" s="61">
        <f t="shared" si="856"/>
        <v>561.3757755052676</v>
      </c>
      <c r="AH720" s="64"/>
      <c r="AI720" s="64"/>
      <c r="AJ720" s="51">
        <v>52</v>
      </c>
      <c r="AK720" s="73" t="s">
        <v>42</v>
      </c>
      <c r="AL720" s="67">
        <v>16571</v>
      </c>
      <c r="AM720" s="72" t="s">
        <v>933</v>
      </c>
      <c r="AN720" s="72" t="s">
        <v>928</v>
      </c>
      <c r="AO720" s="65">
        <f t="shared" si="892"/>
        <v>146445.85447963505</v>
      </c>
      <c r="AP720" s="65">
        <f t="shared" si="892"/>
        <v>48815.284826545016</v>
      </c>
      <c r="AQ720" s="65">
        <f t="shared" si="893"/>
        <v>0</v>
      </c>
      <c r="AR720" s="65">
        <f t="shared" si="893"/>
        <v>12930.818316741608</v>
      </c>
      <c r="AS720" s="65">
        <f t="shared" si="893"/>
        <v>0</v>
      </c>
      <c r="AT720" s="65">
        <f t="shared" si="893"/>
        <v>24407.642413272508</v>
      </c>
      <c r="AU720" s="65">
        <f t="shared" si="893"/>
        <v>4881.5284826545021</v>
      </c>
      <c r="AV720" s="65">
        <f t="shared" si="893"/>
        <v>30512.376544940678</v>
      </c>
      <c r="AW720" s="65">
        <f t="shared" si="893"/>
        <v>19582.761107198596</v>
      </c>
      <c r="AX720" s="65">
        <f t="shared" si="893"/>
        <v>11580.580193494145</v>
      </c>
      <c r="AY720" s="65">
        <f t="shared" si="893"/>
        <v>0</v>
      </c>
      <c r="AZ720" s="65">
        <f t="shared" si="893"/>
        <v>6736.5093060632116</v>
      </c>
      <c r="BB720" s="64"/>
      <c r="BC720" s="66"/>
      <c r="BD720" s="66"/>
      <c r="BE720" s="66"/>
    </row>
    <row r="721" spans="2:57" ht="21" customHeight="1" x14ac:dyDescent="0.2">
      <c r="B721" s="51">
        <v>53</v>
      </c>
      <c r="C721" s="73" t="s">
        <v>42</v>
      </c>
      <c r="D721" s="78">
        <v>16344</v>
      </c>
      <c r="E721" s="72" t="s">
        <v>934</v>
      </c>
      <c r="F721" s="72" t="s">
        <v>928</v>
      </c>
      <c r="G721" s="55">
        <v>41627</v>
      </c>
      <c r="H721" s="56" t="str">
        <f t="shared" si="891"/>
        <v>11 AÑOS</v>
      </c>
      <c r="I721" s="57">
        <v>7822.9623119463167</v>
      </c>
      <c r="J721" s="58"/>
      <c r="K721" s="58"/>
      <c r="L721" s="59"/>
      <c r="M721" s="60">
        <v>4.0000000000000002E-4</v>
      </c>
      <c r="N721" s="61">
        <f t="shared" si="851"/>
        <v>312.91849247785268</v>
      </c>
      <c r="O721" s="58">
        <f t="shared" si="852"/>
        <v>8135.8808044241696</v>
      </c>
      <c r="P721" s="61">
        <f t="shared" si="880"/>
        <v>16271.761608848339</v>
      </c>
      <c r="Q721" s="61">
        <f t="shared" si="881"/>
        <v>12203.821206636254</v>
      </c>
      <c r="R721" s="61">
        <f t="shared" si="882"/>
        <v>4067.9404022120848</v>
      </c>
      <c r="S721" s="61">
        <f t="shared" si="883"/>
        <v>542.39205362827795</v>
      </c>
      <c r="T721" s="58">
        <f t="shared" si="884"/>
        <v>622.61183835990016</v>
      </c>
      <c r="U721" s="61">
        <f t="shared" si="885"/>
        <v>6101.910603318127</v>
      </c>
      <c r="V721" s="58">
        <f t="shared" si="886"/>
        <v>2033.9702011060424</v>
      </c>
      <c r="W721" s="62">
        <v>0</v>
      </c>
      <c r="X721" s="63">
        <f t="shared" si="853"/>
        <v>0</v>
      </c>
      <c r="Y721" s="61">
        <v>1077.5681930618007</v>
      </c>
      <c r="Z721" s="61">
        <v>0</v>
      </c>
      <c r="AA721" s="61">
        <f t="shared" si="854"/>
        <v>2033.9702011060424</v>
      </c>
      <c r="AB721" s="61">
        <f t="shared" si="855"/>
        <v>406.79404022120849</v>
      </c>
      <c r="AC721" s="61">
        <v>2542.6980454117233</v>
      </c>
      <c r="AD721" s="61">
        <v>1631.8967589332165</v>
      </c>
      <c r="AE721" s="61">
        <v>965.04834945784535</v>
      </c>
      <c r="AF721" s="61">
        <v>0</v>
      </c>
      <c r="AG721" s="61">
        <f t="shared" si="856"/>
        <v>561.3757755052676</v>
      </c>
      <c r="AH721" s="64"/>
      <c r="AI721" s="64"/>
      <c r="AJ721" s="51">
        <v>53</v>
      </c>
      <c r="AK721" s="73" t="s">
        <v>42</v>
      </c>
      <c r="AL721" s="78">
        <v>16344</v>
      </c>
      <c r="AM721" s="72" t="s">
        <v>934</v>
      </c>
      <c r="AN721" s="72" t="s">
        <v>928</v>
      </c>
      <c r="AO721" s="65">
        <f t="shared" si="892"/>
        <v>146445.85447963505</v>
      </c>
      <c r="AP721" s="65">
        <f t="shared" si="892"/>
        <v>48815.284826545016</v>
      </c>
      <c r="AQ721" s="65">
        <f t="shared" si="893"/>
        <v>0</v>
      </c>
      <c r="AR721" s="65">
        <f t="shared" si="893"/>
        <v>12930.818316741608</v>
      </c>
      <c r="AS721" s="65">
        <f t="shared" si="893"/>
        <v>0</v>
      </c>
      <c r="AT721" s="65">
        <f t="shared" si="893"/>
        <v>24407.642413272508</v>
      </c>
      <c r="AU721" s="65">
        <f t="shared" si="893"/>
        <v>4881.5284826545021</v>
      </c>
      <c r="AV721" s="65">
        <f t="shared" si="893"/>
        <v>30512.376544940678</v>
      </c>
      <c r="AW721" s="65">
        <f t="shared" si="893"/>
        <v>19582.761107198596</v>
      </c>
      <c r="AX721" s="65">
        <f t="shared" si="893"/>
        <v>11580.580193494145</v>
      </c>
      <c r="AY721" s="65">
        <f t="shared" si="893"/>
        <v>0</v>
      </c>
      <c r="AZ721" s="65">
        <f t="shared" si="893"/>
        <v>6736.5093060632116</v>
      </c>
      <c r="BB721" s="64"/>
      <c r="BC721" s="66"/>
      <c r="BD721" s="66"/>
      <c r="BE721" s="66"/>
    </row>
    <row r="722" spans="2:57" ht="21" customHeight="1" x14ac:dyDescent="0.2">
      <c r="B722" s="51">
        <v>54</v>
      </c>
      <c r="C722" s="73" t="s">
        <v>42</v>
      </c>
      <c r="D722" s="78">
        <v>16480</v>
      </c>
      <c r="E722" s="72" t="s">
        <v>935</v>
      </c>
      <c r="F722" s="72" t="s">
        <v>928</v>
      </c>
      <c r="G722" s="55">
        <v>43267</v>
      </c>
      <c r="H722" s="56" t="str">
        <f t="shared" si="891"/>
        <v>6 AÑOS</v>
      </c>
      <c r="I722" s="57">
        <v>7822.9623119463167</v>
      </c>
      <c r="J722" s="58"/>
      <c r="K722" s="58"/>
      <c r="L722" s="59"/>
      <c r="M722" s="60">
        <v>4.0000000000000002E-4</v>
      </c>
      <c r="N722" s="61">
        <f t="shared" si="851"/>
        <v>312.91849247785268</v>
      </c>
      <c r="O722" s="58">
        <f t="shared" si="852"/>
        <v>8135.8808044241696</v>
      </c>
      <c r="P722" s="61">
        <f t="shared" si="880"/>
        <v>16271.761608848339</v>
      </c>
      <c r="Q722" s="61">
        <f t="shared" si="881"/>
        <v>12203.821206636254</v>
      </c>
      <c r="R722" s="61">
        <f t="shared" si="882"/>
        <v>4067.9404022120848</v>
      </c>
      <c r="S722" s="61">
        <f t="shared" si="883"/>
        <v>542.39205362827795</v>
      </c>
      <c r="T722" s="58">
        <f t="shared" si="884"/>
        <v>622.61183835990016</v>
      </c>
      <c r="U722" s="61">
        <f t="shared" si="885"/>
        <v>6101.910603318127</v>
      </c>
      <c r="V722" s="58">
        <f t="shared" si="886"/>
        <v>2033.9702011060424</v>
      </c>
      <c r="W722" s="62">
        <v>0</v>
      </c>
      <c r="X722" s="63">
        <f t="shared" si="853"/>
        <v>0</v>
      </c>
      <c r="Y722" s="61">
        <v>1077.5681930618007</v>
      </c>
      <c r="Z722" s="61">
        <v>0</v>
      </c>
      <c r="AA722" s="61">
        <f t="shared" si="854"/>
        <v>2033.9702011060424</v>
      </c>
      <c r="AB722" s="61">
        <f t="shared" si="855"/>
        <v>406.79404022120849</v>
      </c>
      <c r="AC722" s="61">
        <v>2542.6980454117233</v>
      </c>
      <c r="AD722" s="61">
        <v>1631.8967589332165</v>
      </c>
      <c r="AE722" s="61">
        <v>965.04834945784535</v>
      </c>
      <c r="AF722" s="61">
        <v>0</v>
      </c>
      <c r="AG722" s="61">
        <f t="shared" si="856"/>
        <v>561.3757755052676</v>
      </c>
      <c r="AH722" s="64"/>
      <c r="AI722" s="64"/>
      <c r="AJ722" s="51">
        <v>54</v>
      </c>
      <c r="AK722" s="73" t="s">
        <v>42</v>
      </c>
      <c r="AL722" s="78">
        <v>16480</v>
      </c>
      <c r="AM722" s="72" t="s">
        <v>935</v>
      </c>
      <c r="AN722" s="72" t="s">
        <v>928</v>
      </c>
      <c r="AO722" s="65">
        <f t="shared" si="892"/>
        <v>146445.85447963505</v>
      </c>
      <c r="AP722" s="65">
        <f t="shared" si="892"/>
        <v>48815.284826545016</v>
      </c>
      <c r="AQ722" s="65">
        <f t="shared" si="893"/>
        <v>0</v>
      </c>
      <c r="AR722" s="65">
        <f t="shared" si="893"/>
        <v>12930.818316741608</v>
      </c>
      <c r="AS722" s="65">
        <f t="shared" si="893"/>
        <v>0</v>
      </c>
      <c r="AT722" s="65">
        <f t="shared" si="893"/>
        <v>24407.642413272508</v>
      </c>
      <c r="AU722" s="65">
        <f t="shared" si="893"/>
        <v>4881.5284826545021</v>
      </c>
      <c r="AV722" s="65">
        <f t="shared" si="893"/>
        <v>30512.376544940678</v>
      </c>
      <c r="AW722" s="65">
        <f t="shared" si="893"/>
        <v>19582.761107198596</v>
      </c>
      <c r="AX722" s="65">
        <f t="shared" si="893"/>
        <v>11580.580193494145</v>
      </c>
      <c r="AY722" s="65">
        <f t="shared" si="893"/>
        <v>0</v>
      </c>
      <c r="AZ722" s="65">
        <f t="shared" si="893"/>
        <v>6736.5093060632116</v>
      </c>
      <c r="BB722" s="64"/>
      <c r="BC722" s="66"/>
      <c r="BD722" s="66"/>
      <c r="BE722" s="66"/>
    </row>
    <row r="723" spans="2:57" ht="21" customHeight="1" x14ac:dyDescent="0.2">
      <c r="B723" s="51">
        <v>55</v>
      </c>
      <c r="C723" s="73" t="s">
        <v>42</v>
      </c>
      <c r="D723" s="78">
        <v>16515</v>
      </c>
      <c r="E723" s="73" t="s">
        <v>936</v>
      </c>
      <c r="F723" s="72" t="s">
        <v>928</v>
      </c>
      <c r="G723" s="169">
        <v>43540</v>
      </c>
      <c r="H723" s="56" t="str">
        <f t="shared" si="891"/>
        <v>5 AÑOS</v>
      </c>
      <c r="I723" s="57">
        <v>7822.9623119463167</v>
      </c>
      <c r="J723" s="58"/>
      <c r="K723" s="58"/>
      <c r="L723" s="59"/>
      <c r="M723" s="60">
        <v>4.0000000000000002E-4</v>
      </c>
      <c r="N723" s="61">
        <f t="shared" si="851"/>
        <v>312.91849247785268</v>
      </c>
      <c r="O723" s="58">
        <f t="shared" si="852"/>
        <v>8135.8808044241696</v>
      </c>
      <c r="P723" s="61">
        <f t="shared" si="880"/>
        <v>16271.761608848339</v>
      </c>
      <c r="Q723" s="61">
        <f t="shared" si="881"/>
        <v>12203.821206636254</v>
      </c>
      <c r="R723" s="61">
        <f t="shared" si="882"/>
        <v>4067.9404022120848</v>
      </c>
      <c r="S723" s="61">
        <f t="shared" si="883"/>
        <v>542.39205362827795</v>
      </c>
      <c r="T723" s="58">
        <f t="shared" si="884"/>
        <v>622.61183835990016</v>
      </c>
      <c r="U723" s="61">
        <f t="shared" si="885"/>
        <v>6101.910603318127</v>
      </c>
      <c r="V723" s="58">
        <f t="shared" si="886"/>
        <v>2033.9702011060424</v>
      </c>
      <c r="W723" s="62">
        <v>0</v>
      </c>
      <c r="X723" s="63">
        <f t="shared" si="853"/>
        <v>0</v>
      </c>
      <c r="Y723" s="61">
        <v>1077.5681930618007</v>
      </c>
      <c r="Z723" s="61">
        <v>0</v>
      </c>
      <c r="AA723" s="61">
        <f t="shared" si="854"/>
        <v>2033.9702011060424</v>
      </c>
      <c r="AB723" s="61">
        <f t="shared" si="855"/>
        <v>406.79404022120849</v>
      </c>
      <c r="AC723" s="61">
        <v>2542.6980454117233</v>
      </c>
      <c r="AD723" s="61">
        <v>1631.8967589332165</v>
      </c>
      <c r="AE723" s="61">
        <v>965.04834945784535</v>
      </c>
      <c r="AF723" s="61">
        <v>0</v>
      </c>
      <c r="AG723" s="61">
        <f t="shared" si="856"/>
        <v>561.3757755052676</v>
      </c>
      <c r="AH723" s="64"/>
      <c r="AI723" s="64"/>
      <c r="AJ723" s="51">
        <v>55</v>
      </c>
      <c r="AK723" s="73" t="s">
        <v>42</v>
      </c>
      <c r="AL723" s="78">
        <v>16515</v>
      </c>
      <c r="AM723" s="73" t="s">
        <v>936</v>
      </c>
      <c r="AN723" s="72" t="s">
        <v>928</v>
      </c>
      <c r="AO723" s="65">
        <f t="shared" si="892"/>
        <v>146445.85447963505</v>
      </c>
      <c r="AP723" s="65">
        <f t="shared" si="892"/>
        <v>48815.284826545016</v>
      </c>
      <c r="AQ723" s="65">
        <f t="shared" si="893"/>
        <v>0</v>
      </c>
      <c r="AR723" s="65">
        <f t="shared" si="893"/>
        <v>12930.818316741608</v>
      </c>
      <c r="AS723" s="65">
        <f t="shared" si="893"/>
        <v>0</v>
      </c>
      <c r="AT723" s="65">
        <f t="shared" si="893"/>
        <v>24407.642413272508</v>
      </c>
      <c r="AU723" s="65">
        <f t="shared" si="893"/>
        <v>4881.5284826545021</v>
      </c>
      <c r="AV723" s="65">
        <f t="shared" si="893"/>
        <v>30512.376544940678</v>
      </c>
      <c r="AW723" s="65">
        <f t="shared" si="893"/>
        <v>19582.761107198596</v>
      </c>
      <c r="AX723" s="65">
        <f t="shared" si="893"/>
        <v>11580.580193494145</v>
      </c>
      <c r="AY723" s="65">
        <f t="shared" si="893"/>
        <v>0</v>
      </c>
      <c r="AZ723" s="65">
        <f t="shared" si="893"/>
        <v>6736.5093060632116</v>
      </c>
      <c r="BB723" s="64"/>
      <c r="BC723" s="66"/>
      <c r="BD723" s="66"/>
      <c r="BE723" s="66"/>
    </row>
    <row r="724" spans="2:57" ht="21" customHeight="1" x14ac:dyDescent="0.2">
      <c r="B724" s="51">
        <v>56</v>
      </c>
      <c r="C724" s="73" t="s">
        <v>42</v>
      </c>
      <c r="D724" s="78">
        <v>16611</v>
      </c>
      <c r="E724" s="72" t="s">
        <v>937</v>
      </c>
      <c r="F724" s="72" t="s">
        <v>928</v>
      </c>
      <c r="G724" s="279">
        <v>45489</v>
      </c>
      <c r="H724" s="56"/>
      <c r="I724" s="57">
        <v>7822.9623119463167</v>
      </c>
      <c r="J724" s="58"/>
      <c r="K724" s="58"/>
      <c r="L724" s="59"/>
      <c r="M724" s="60">
        <v>4.0000000000000002E-4</v>
      </c>
      <c r="N724" s="61">
        <f t="shared" si="851"/>
        <v>312.91849247785268</v>
      </c>
      <c r="O724" s="58">
        <f t="shared" si="852"/>
        <v>8135.8808044241696</v>
      </c>
      <c r="P724" s="61">
        <f t="shared" si="880"/>
        <v>16271.761608848339</v>
      </c>
      <c r="Q724" s="61">
        <f t="shared" si="881"/>
        <v>12203.821206636254</v>
      </c>
      <c r="R724" s="61">
        <f t="shared" si="882"/>
        <v>4067.9404022120848</v>
      </c>
      <c r="S724" s="61">
        <f t="shared" si="883"/>
        <v>542.39205362827795</v>
      </c>
      <c r="T724" s="58">
        <f t="shared" si="884"/>
        <v>622.61183835990016</v>
      </c>
      <c r="U724" s="61">
        <f t="shared" si="885"/>
        <v>6101.910603318127</v>
      </c>
      <c r="V724" s="58">
        <f t="shared" si="886"/>
        <v>2033.9702011060424</v>
      </c>
      <c r="W724" s="62">
        <v>0</v>
      </c>
      <c r="X724" s="63">
        <f t="shared" si="853"/>
        <v>0</v>
      </c>
      <c r="Y724" s="61">
        <v>1077.5681930618007</v>
      </c>
      <c r="Z724" s="61">
        <v>0</v>
      </c>
      <c r="AA724" s="61">
        <f t="shared" si="854"/>
        <v>2033.9702011060424</v>
      </c>
      <c r="AB724" s="61">
        <f t="shared" si="855"/>
        <v>406.79404022120849</v>
      </c>
      <c r="AC724" s="61">
        <v>2542.6980454117233</v>
      </c>
      <c r="AD724" s="61">
        <v>1631.8967589332165</v>
      </c>
      <c r="AE724" s="61">
        <v>965.04834945784535</v>
      </c>
      <c r="AF724" s="61">
        <v>0</v>
      </c>
      <c r="AG724" s="61">
        <f t="shared" si="856"/>
        <v>561.3757755052676</v>
      </c>
      <c r="AH724" s="64"/>
      <c r="AI724" s="64"/>
      <c r="AJ724" s="51">
        <v>56</v>
      </c>
      <c r="AK724" s="73" t="s">
        <v>42</v>
      </c>
      <c r="AL724" s="78">
        <v>16611</v>
      </c>
      <c r="AM724" s="72" t="s">
        <v>937</v>
      </c>
      <c r="AN724" s="72" t="s">
        <v>928</v>
      </c>
      <c r="AO724" s="65">
        <f>Q724*7</f>
        <v>85426.74844645377</v>
      </c>
      <c r="AP724" s="65">
        <f>R724*7</f>
        <v>28475.582815484595</v>
      </c>
      <c r="AQ724" s="65">
        <f t="shared" ref="AQ724:AZ724" si="894">X724*7</f>
        <v>0</v>
      </c>
      <c r="AR724" s="65">
        <f t="shared" si="894"/>
        <v>7542.9773514326043</v>
      </c>
      <c r="AS724" s="65">
        <f t="shared" si="894"/>
        <v>0</v>
      </c>
      <c r="AT724" s="65">
        <f t="shared" si="894"/>
        <v>14237.791407742297</v>
      </c>
      <c r="AU724" s="65">
        <f t="shared" si="894"/>
        <v>2847.5582815484595</v>
      </c>
      <c r="AV724" s="65">
        <f t="shared" si="894"/>
        <v>17798.886317882065</v>
      </c>
      <c r="AW724" s="65">
        <f t="shared" si="894"/>
        <v>11423.277312532515</v>
      </c>
      <c r="AX724" s="65">
        <f t="shared" si="894"/>
        <v>6755.3384462049171</v>
      </c>
      <c r="AY724" s="65">
        <f t="shared" si="894"/>
        <v>0</v>
      </c>
      <c r="AZ724" s="65">
        <f t="shared" si="894"/>
        <v>3929.6304285368733</v>
      </c>
      <c r="BB724" s="64"/>
      <c r="BC724" s="66"/>
      <c r="BD724" s="66"/>
      <c r="BE724" s="66"/>
    </row>
    <row r="725" spans="2:57" ht="21" customHeight="1" x14ac:dyDescent="0.2">
      <c r="B725" s="51">
        <v>57</v>
      </c>
      <c r="C725" s="73" t="s">
        <v>42</v>
      </c>
      <c r="D725" s="67">
        <v>16624</v>
      </c>
      <c r="E725" s="72" t="s">
        <v>938</v>
      </c>
      <c r="F725" s="72" t="s">
        <v>928</v>
      </c>
      <c r="G725" s="169">
        <v>44946</v>
      </c>
      <c r="H725" s="56" t="str">
        <f t="shared" ref="H725:H779" si="895" xml:space="preserve"> CONCATENATE(DATEDIF(G725,H$5,"Y")," AÑOS")</f>
        <v>1 AÑOS</v>
      </c>
      <c r="I725" s="57">
        <v>7822.9623119463167</v>
      </c>
      <c r="J725" s="58"/>
      <c r="K725" s="58"/>
      <c r="L725" s="59"/>
      <c r="M725" s="60">
        <v>4.0000000000000002E-4</v>
      </c>
      <c r="N725" s="61">
        <f t="shared" si="851"/>
        <v>312.91849247785268</v>
      </c>
      <c r="O725" s="58">
        <f t="shared" si="852"/>
        <v>8135.8808044241696</v>
      </c>
      <c r="P725" s="61">
        <f t="shared" si="880"/>
        <v>16271.761608848339</v>
      </c>
      <c r="Q725" s="61">
        <f t="shared" si="881"/>
        <v>12203.821206636254</v>
      </c>
      <c r="R725" s="61">
        <f t="shared" si="882"/>
        <v>4067.9404022120848</v>
      </c>
      <c r="S725" s="61">
        <f t="shared" si="883"/>
        <v>542.39205362827795</v>
      </c>
      <c r="T725" s="58">
        <f t="shared" si="884"/>
        <v>622.61183835990016</v>
      </c>
      <c r="U725" s="61">
        <f t="shared" si="885"/>
        <v>6101.910603318127</v>
      </c>
      <c r="V725" s="58">
        <f t="shared" si="886"/>
        <v>2033.9702011060424</v>
      </c>
      <c r="W725" s="62">
        <v>0</v>
      </c>
      <c r="X725" s="63">
        <f t="shared" si="853"/>
        <v>0</v>
      </c>
      <c r="Y725" s="61">
        <v>1077.5681930618007</v>
      </c>
      <c r="Z725" s="61">
        <v>0</v>
      </c>
      <c r="AA725" s="61">
        <f t="shared" si="854"/>
        <v>2033.9702011060424</v>
      </c>
      <c r="AB725" s="61">
        <f t="shared" si="855"/>
        <v>406.79404022120849</v>
      </c>
      <c r="AC725" s="61">
        <v>2542.6980454117233</v>
      </c>
      <c r="AD725" s="61">
        <v>1631.8967589332165</v>
      </c>
      <c r="AE725" s="61">
        <v>965.04834945784535</v>
      </c>
      <c r="AF725" s="61">
        <v>0</v>
      </c>
      <c r="AG725" s="61">
        <f t="shared" si="856"/>
        <v>561.3757755052676</v>
      </c>
      <c r="AH725" s="64"/>
      <c r="AI725" s="64"/>
      <c r="AJ725" s="51">
        <v>57</v>
      </c>
      <c r="AK725" s="73" t="s">
        <v>42</v>
      </c>
      <c r="AL725" s="67">
        <v>16624</v>
      </c>
      <c r="AM725" s="72" t="s">
        <v>938</v>
      </c>
      <c r="AN725" s="72" t="s">
        <v>928</v>
      </c>
      <c r="AO725" s="65">
        <f t="shared" ref="AO725:AP729" si="896">Q725*12</f>
        <v>146445.85447963505</v>
      </c>
      <c r="AP725" s="65">
        <f t="shared" si="896"/>
        <v>48815.284826545016</v>
      </c>
      <c r="AQ725" s="65">
        <f t="shared" ref="AQ725:AZ729" si="897">X725*12</f>
        <v>0</v>
      </c>
      <c r="AR725" s="65">
        <f t="shared" si="897"/>
        <v>12930.818316741608</v>
      </c>
      <c r="AS725" s="65">
        <f t="shared" si="897"/>
        <v>0</v>
      </c>
      <c r="AT725" s="65">
        <f t="shared" si="897"/>
        <v>24407.642413272508</v>
      </c>
      <c r="AU725" s="65">
        <f t="shared" si="897"/>
        <v>4881.5284826545021</v>
      </c>
      <c r="AV725" s="65">
        <f t="shared" si="897"/>
        <v>30512.376544940678</v>
      </c>
      <c r="AW725" s="65">
        <f t="shared" si="897"/>
        <v>19582.761107198596</v>
      </c>
      <c r="AX725" s="65">
        <f t="shared" si="897"/>
        <v>11580.580193494145</v>
      </c>
      <c r="AY725" s="65">
        <f t="shared" si="897"/>
        <v>0</v>
      </c>
      <c r="AZ725" s="65">
        <f t="shared" si="897"/>
        <v>6736.5093060632116</v>
      </c>
      <c r="BB725" s="64"/>
      <c r="BC725" s="66"/>
      <c r="BD725" s="66"/>
      <c r="BE725" s="66"/>
    </row>
    <row r="726" spans="2:57" ht="21" customHeight="1" x14ac:dyDescent="0.2">
      <c r="B726" s="51">
        <v>58</v>
      </c>
      <c r="C726" s="73" t="s">
        <v>42</v>
      </c>
      <c r="D726" s="67">
        <v>16486</v>
      </c>
      <c r="E726" s="84" t="s">
        <v>939</v>
      </c>
      <c r="F726" s="72" t="s">
        <v>928</v>
      </c>
      <c r="G726" s="179">
        <v>43405</v>
      </c>
      <c r="H726" s="56" t="str">
        <f t="shared" si="895"/>
        <v>6 AÑOS</v>
      </c>
      <c r="I726" s="57">
        <v>7822.9623119463167</v>
      </c>
      <c r="J726" s="58"/>
      <c r="K726" s="58"/>
      <c r="L726" s="59"/>
      <c r="M726" s="60">
        <v>4.0000000000000002E-4</v>
      </c>
      <c r="N726" s="61">
        <f t="shared" si="851"/>
        <v>312.91849247785268</v>
      </c>
      <c r="O726" s="58">
        <f t="shared" si="852"/>
        <v>8135.8808044241696</v>
      </c>
      <c r="P726" s="61">
        <f t="shared" si="880"/>
        <v>16271.761608848339</v>
      </c>
      <c r="Q726" s="61">
        <f t="shared" si="881"/>
        <v>12203.821206636254</v>
      </c>
      <c r="R726" s="61">
        <f t="shared" si="882"/>
        <v>4067.9404022120848</v>
      </c>
      <c r="S726" s="61">
        <f t="shared" si="883"/>
        <v>542.39205362827795</v>
      </c>
      <c r="T726" s="58">
        <f t="shared" si="884"/>
        <v>622.61183835990016</v>
      </c>
      <c r="U726" s="61">
        <f t="shared" si="885"/>
        <v>6101.910603318127</v>
      </c>
      <c r="V726" s="58">
        <f t="shared" si="886"/>
        <v>2033.9702011060424</v>
      </c>
      <c r="W726" s="62">
        <v>0</v>
      </c>
      <c r="X726" s="63">
        <f t="shared" si="853"/>
        <v>0</v>
      </c>
      <c r="Y726" s="61">
        <v>1077.5681930618007</v>
      </c>
      <c r="Z726" s="61">
        <v>0</v>
      </c>
      <c r="AA726" s="61">
        <f t="shared" si="854"/>
        <v>2033.9702011060424</v>
      </c>
      <c r="AB726" s="61">
        <f t="shared" si="855"/>
        <v>406.79404022120849</v>
      </c>
      <c r="AC726" s="61">
        <v>2542.6980454117233</v>
      </c>
      <c r="AD726" s="61">
        <v>1631.8967589332165</v>
      </c>
      <c r="AE726" s="61">
        <v>965.04834945784535</v>
      </c>
      <c r="AF726" s="61">
        <v>0</v>
      </c>
      <c r="AG726" s="61">
        <f t="shared" si="856"/>
        <v>561.3757755052676</v>
      </c>
      <c r="AH726" s="64"/>
      <c r="AI726" s="64"/>
      <c r="AJ726" s="51">
        <v>58</v>
      </c>
      <c r="AK726" s="73" t="s">
        <v>42</v>
      </c>
      <c r="AL726" s="67">
        <v>16486</v>
      </c>
      <c r="AM726" s="84" t="s">
        <v>939</v>
      </c>
      <c r="AN726" s="72" t="s">
        <v>928</v>
      </c>
      <c r="AO726" s="65">
        <f t="shared" si="896"/>
        <v>146445.85447963505</v>
      </c>
      <c r="AP726" s="65">
        <f t="shared" si="896"/>
        <v>48815.284826545016</v>
      </c>
      <c r="AQ726" s="65">
        <f t="shared" si="897"/>
        <v>0</v>
      </c>
      <c r="AR726" s="65">
        <f t="shared" si="897"/>
        <v>12930.818316741608</v>
      </c>
      <c r="AS726" s="65">
        <f t="shared" si="897"/>
        <v>0</v>
      </c>
      <c r="AT726" s="65">
        <f t="shared" si="897"/>
        <v>24407.642413272508</v>
      </c>
      <c r="AU726" s="65">
        <f t="shared" si="897"/>
        <v>4881.5284826545021</v>
      </c>
      <c r="AV726" s="65">
        <f t="shared" si="897"/>
        <v>30512.376544940678</v>
      </c>
      <c r="AW726" s="65">
        <f t="shared" si="897"/>
        <v>19582.761107198596</v>
      </c>
      <c r="AX726" s="65">
        <f t="shared" si="897"/>
        <v>11580.580193494145</v>
      </c>
      <c r="AY726" s="65">
        <f t="shared" si="897"/>
        <v>0</v>
      </c>
      <c r="AZ726" s="65">
        <f t="shared" si="897"/>
        <v>6736.5093060632116</v>
      </c>
      <c r="BB726" s="64"/>
      <c r="BC726" s="66"/>
      <c r="BD726" s="66"/>
      <c r="BE726" s="66"/>
    </row>
    <row r="727" spans="2:57" ht="21" customHeight="1" x14ac:dyDescent="0.2">
      <c r="B727" s="51">
        <v>59</v>
      </c>
      <c r="C727" s="73" t="s">
        <v>42</v>
      </c>
      <c r="D727" s="67">
        <v>16387</v>
      </c>
      <c r="E727" s="72" t="s">
        <v>940</v>
      </c>
      <c r="F727" s="72" t="s">
        <v>928</v>
      </c>
      <c r="G727" s="55">
        <v>41867</v>
      </c>
      <c r="H727" s="56" t="str">
        <f t="shared" si="895"/>
        <v>10 AÑOS</v>
      </c>
      <c r="I727" s="57">
        <v>7822.9623119463167</v>
      </c>
      <c r="J727" s="58"/>
      <c r="K727" s="58"/>
      <c r="L727" s="59"/>
      <c r="M727" s="60">
        <v>4.0000000000000002E-4</v>
      </c>
      <c r="N727" s="61">
        <f t="shared" si="851"/>
        <v>312.91849247785268</v>
      </c>
      <c r="O727" s="58">
        <f t="shared" si="852"/>
        <v>8135.8808044241696</v>
      </c>
      <c r="P727" s="61">
        <f t="shared" si="880"/>
        <v>16271.761608848339</v>
      </c>
      <c r="Q727" s="61">
        <f t="shared" si="881"/>
        <v>12203.821206636254</v>
      </c>
      <c r="R727" s="61">
        <f t="shared" si="882"/>
        <v>4067.9404022120848</v>
      </c>
      <c r="S727" s="61">
        <f t="shared" si="883"/>
        <v>542.39205362827795</v>
      </c>
      <c r="T727" s="58">
        <f t="shared" si="884"/>
        <v>622.61183835990016</v>
      </c>
      <c r="U727" s="61">
        <f t="shared" si="885"/>
        <v>6101.910603318127</v>
      </c>
      <c r="V727" s="58">
        <f t="shared" si="886"/>
        <v>2033.9702011060424</v>
      </c>
      <c r="W727" s="62">
        <v>0</v>
      </c>
      <c r="X727" s="63">
        <f t="shared" si="853"/>
        <v>0</v>
      </c>
      <c r="Y727" s="61">
        <v>1077.5681930618007</v>
      </c>
      <c r="Z727" s="61">
        <v>0</v>
      </c>
      <c r="AA727" s="61">
        <f t="shared" si="854"/>
        <v>2033.9702011060424</v>
      </c>
      <c r="AB727" s="61">
        <f t="shared" si="855"/>
        <v>406.79404022120849</v>
      </c>
      <c r="AC727" s="61">
        <v>2542.6980454117233</v>
      </c>
      <c r="AD727" s="61">
        <v>1631.8967589332165</v>
      </c>
      <c r="AE727" s="61">
        <v>965.04834945784535</v>
      </c>
      <c r="AF727" s="61">
        <v>0</v>
      </c>
      <c r="AG727" s="61">
        <f t="shared" si="856"/>
        <v>561.3757755052676</v>
      </c>
      <c r="AH727" s="64"/>
      <c r="AI727" s="64"/>
      <c r="AJ727" s="51">
        <v>59</v>
      </c>
      <c r="AK727" s="73" t="s">
        <v>42</v>
      </c>
      <c r="AL727" s="67">
        <v>16387</v>
      </c>
      <c r="AM727" s="72" t="s">
        <v>940</v>
      </c>
      <c r="AN727" s="72" t="s">
        <v>928</v>
      </c>
      <c r="AO727" s="65">
        <f t="shared" si="896"/>
        <v>146445.85447963505</v>
      </c>
      <c r="AP727" s="65">
        <f t="shared" si="896"/>
        <v>48815.284826545016</v>
      </c>
      <c r="AQ727" s="65">
        <f t="shared" si="897"/>
        <v>0</v>
      </c>
      <c r="AR727" s="65">
        <f t="shared" si="897"/>
        <v>12930.818316741608</v>
      </c>
      <c r="AS727" s="65">
        <f t="shared" si="897"/>
        <v>0</v>
      </c>
      <c r="AT727" s="65">
        <f t="shared" si="897"/>
        <v>24407.642413272508</v>
      </c>
      <c r="AU727" s="65">
        <f t="shared" si="897"/>
        <v>4881.5284826545021</v>
      </c>
      <c r="AV727" s="65">
        <f t="shared" si="897"/>
        <v>30512.376544940678</v>
      </c>
      <c r="AW727" s="65">
        <f t="shared" si="897"/>
        <v>19582.761107198596</v>
      </c>
      <c r="AX727" s="65">
        <f t="shared" si="897"/>
        <v>11580.580193494145</v>
      </c>
      <c r="AY727" s="65">
        <f t="shared" si="897"/>
        <v>0</v>
      </c>
      <c r="AZ727" s="65">
        <f t="shared" si="897"/>
        <v>6736.5093060632116</v>
      </c>
      <c r="BB727" s="64"/>
      <c r="BC727" s="66"/>
      <c r="BD727" s="66"/>
      <c r="BE727" s="66"/>
    </row>
    <row r="728" spans="2:57" ht="21" customHeight="1" x14ac:dyDescent="0.2">
      <c r="B728" s="51">
        <v>60</v>
      </c>
      <c r="C728" s="73" t="s">
        <v>42</v>
      </c>
      <c r="D728" s="67">
        <v>16606</v>
      </c>
      <c r="E728" s="72" t="s">
        <v>941</v>
      </c>
      <c r="F728" s="72" t="s">
        <v>928</v>
      </c>
      <c r="G728" s="169">
        <v>44743</v>
      </c>
      <c r="H728" s="56" t="str">
        <f t="shared" si="895"/>
        <v>2 AÑOS</v>
      </c>
      <c r="I728" s="57">
        <v>7822.9623119463167</v>
      </c>
      <c r="J728" s="58"/>
      <c r="K728" s="58"/>
      <c r="L728" s="59"/>
      <c r="M728" s="60">
        <v>4.0000000000000002E-4</v>
      </c>
      <c r="N728" s="61">
        <f t="shared" si="851"/>
        <v>312.91849247785268</v>
      </c>
      <c r="O728" s="58">
        <f t="shared" si="852"/>
        <v>8135.8808044241696</v>
      </c>
      <c r="P728" s="61">
        <f t="shared" si="880"/>
        <v>16271.761608848339</v>
      </c>
      <c r="Q728" s="61">
        <f t="shared" si="881"/>
        <v>12203.821206636254</v>
      </c>
      <c r="R728" s="61">
        <f t="shared" si="882"/>
        <v>4067.9404022120848</v>
      </c>
      <c r="S728" s="61">
        <f t="shared" si="883"/>
        <v>542.39205362827795</v>
      </c>
      <c r="T728" s="58">
        <f t="shared" si="884"/>
        <v>622.61183835990016</v>
      </c>
      <c r="U728" s="61">
        <f t="shared" si="885"/>
        <v>6101.910603318127</v>
      </c>
      <c r="V728" s="58">
        <f t="shared" si="886"/>
        <v>2033.9702011060424</v>
      </c>
      <c r="W728" s="62">
        <v>0</v>
      </c>
      <c r="X728" s="63">
        <f t="shared" si="853"/>
        <v>0</v>
      </c>
      <c r="Y728" s="61">
        <v>1077.5681930618007</v>
      </c>
      <c r="Z728" s="61">
        <v>0</v>
      </c>
      <c r="AA728" s="61">
        <f t="shared" si="854"/>
        <v>2033.9702011060424</v>
      </c>
      <c r="AB728" s="61">
        <f t="shared" si="855"/>
        <v>406.79404022120849</v>
      </c>
      <c r="AC728" s="61">
        <v>2542.6980454117233</v>
      </c>
      <c r="AD728" s="61">
        <v>1631.8967589332165</v>
      </c>
      <c r="AE728" s="61">
        <v>965.04834945784535</v>
      </c>
      <c r="AF728" s="61">
        <v>0</v>
      </c>
      <c r="AG728" s="61">
        <f t="shared" si="856"/>
        <v>561.3757755052676</v>
      </c>
      <c r="AH728" s="64"/>
      <c r="AI728" s="64"/>
      <c r="AJ728" s="51">
        <v>60</v>
      </c>
      <c r="AK728" s="73" t="s">
        <v>42</v>
      </c>
      <c r="AL728" s="67">
        <v>16606</v>
      </c>
      <c r="AM728" s="72" t="s">
        <v>941</v>
      </c>
      <c r="AN728" s="72" t="s">
        <v>928</v>
      </c>
      <c r="AO728" s="65">
        <f t="shared" si="896"/>
        <v>146445.85447963505</v>
      </c>
      <c r="AP728" s="65">
        <f t="shared" si="896"/>
        <v>48815.284826545016</v>
      </c>
      <c r="AQ728" s="65">
        <f t="shared" si="897"/>
        <v>0</v>
      </c>
      <c r="AR728" s="65">
        <f t="shared" si="897"/>
        <v>12930.818316741608</v>
      </c>
      <c r="AS728" s="65">
        <f t="shared" si="897"/>
        <v>0</v>
      </c>
      <c r="AT728" s="65">
        <f t="shared" si="897"/>
        <v>24407.642413272508</v>
      </c>
      <c r="AU728" s="65">
        <f t="shared" si="897"/>
        <v>4881.5284826545021</v>
      </c>
      <c r="AV728" s="65">
        <f t="shared" si="897"/>
        <v>30512.376544940678</v>
      </c>
      <c r="AW728" s="65">
        <f t="shared" si="897"/>
        <v>19582.761107198596</v>
      </c>
      <c r="AX728" s="65">
        <f t="shared" si="897"/>
        <v>11580.580193494145</v>
      </c>
      <c r="AY728" s="65">
        <f t="shared" si="897"/>
        <v>0</v>
      </c>
      <c r="AZ728" s="65">
        <f t="shared" si="897"/>
        <v>6736.5093060632116</v>
      </c>
      <c r="BB728" s="64"/>
      <c r="BC728" s="66"/>
      <c r="BD728" s="66"/>
      <c r="BE728" s="66"/>
    </row>
    <row r="729" spans="2:57" ht="21" customHeight="1" x14ac:dyDescent="0.2">
      <c r="B729" s="51">
        <v>61</v>
      </c>
      <c r="C729" s="73" t="s">
        <v>42</v>
      </c>
      <c r="D729" s="67">
        <v>6040</v>
      </c>
      <c r="E729" s="72" t="s">
        <v>942</v>
      </c>
      <c r="F729" s="72" t="s">
        <v>928</v>
      </c>
      <c r="G729" s="169">
        <v>37266</v>
      </c>
      <c r="H729" s="56" t="str">
        <f t="shared" si="895"/>
        <v>22 AÑOS</v>
      </c>
      <c r="I729" s="57">
        <v>7822.9623119463167</v>
      </c>
      <c r="J729" s="58"/>
      <c r="K729" s="58"/>
      <c r="L729" s="59"/>
      <c r="M729" s="60">
        <v>4.0000000000000002E-4</v>
      </c>
      <c r="N729" s="61">
        <f t="shared" si="851"/>
        <v>312.91849247785268</v>
      </c>
      <c r="O729" s="58">
        <f t="shared" si="852"/>
        <v>8135.8808044241696</v>
      </c>
      <c r="P729" s="61">
        <f t="shared" si="880"/>
        <v>16271.761608848339</v>
      </c>
      <c r="Q729" s="61">
        <f t="shared" si="881"/>
        <v>12203.821206636254</v>
      </c>
      <c r="R729" s="61">
        <f t="shared" si="882"/>
        <v>4067.9404022120848</v>
      </c>
      <c r="S729" s="61">
        <f t="shared" si="883"/>
        <v>542.39205362827795</v>
      </c>
      <c r="T729" s="58">
        <f t="shared" si="884"/>
        <v>622.61183835990016</v>
      </c>
      <c r="U729" s="61">
        <f t="shared" si="885"/>
        <v>6101.910603318127</v>
      </c>
      <c r="V729" s="58">
        <f t="shared" si="886"/>
        <v>2033.9702011060424</v>
      </c>
      <c r="W729" s="62">
        <v>0</v>
      </c>
      <c r="X729" s="63">
        <f t="shared" si="853"/>
        <v>0</v>
      </c>
      <c r="Y729" s="61">
        <v>1077.5681930618007</v>
      </c>
      <c r="Z729" s="61">
        <v>0</v>
      </c>
      <c r="AA729" s="61">
        <f t="shared" si="854"/>
        <v>2033.9702011060424</v>
      </c>
      <c r="AB729" s="61">
        <f t="shared" si="855"/>
        <v>406.79404022120849</v>
      </c>
      <c r="AC729" s="61">
        <v>2542.6980454117233</v>
      </c>
      <c r="AD729" s="61">
        <v>1631.8967589332165</v>
      </c>
      <c r="AE729" s="61">
        <v>965.04834945784535</v>
      </c>
      <c r="AF729" s="61">
        <v>0</v>
      </c>
      <c r="AG729" s="61">
        <f t="shared" si="856"/>
        <v>561.3757755052676</v>
      </c>
      <c r="AH729" s="64"/>
      <c r="AI729" s="64"/>
      <c r="AJ729" s="51">
        <v>61</v>
      </c>
      <c r="AK729" s="73" t="s">
        <v>42</v>
      </c>
      <c r="AL729" s="67">
        <v>6040</v>
      </c>
      <c r="AM729" s="72" t="s">
        <v>942</v>
      </c>
      <c r="AN729" s="72" t="s">
        <v>928</v>
      </c>
      <c r="AO729" s="65">
        <f t="shared" si="896"/>
        <v>146445.85447963505</v>
      </c>
      <c r="AP729" s="65">
        <f t="shared" si="896"/>
        <v>48815.284826545016</v>
      </c>
      <c r="AQ729" s="65">
        <f t="shared" si="897"/>
        <v>0</v>
      </c>
      <c r="AR729" s="65">
        <f t="shared" si="897"/>
        <v>12930.818316741608</v>
      </c>
      <c r="AS729" s="65">
        <f t="shared" si="897"/>
        <v>0</v>
      </c>
      <c r="AT729" s="65">
        <f t="shared" si="897"/>
        <v>24407.642413272508</v>
      </c>
      <c r="AU729" s="65">
        <f t="shared" si="897"/>
        <v>4881.5284826545021</v>
      </c>
      <c r="AV729" s="65">
        <f t="shared" si="897"/>
        <v>30512.376544940678</v>
      </c>
      <c r="AW729" s="65">
        <f t="shared" si="897"/>
        <v>19582.761107198596</v>
      </c>
      <c r="AX729" s="65">
        <f t="shared" si="897"/>
        <v>11580.580193494145</v>
      </c>
      <c r="AY729" s="65">
        <f t="shared" si="897"/>
        <v>0</v>
      </c>
      <c r="AZ729" s="65">
        <f t="shared" si="897"/>
        <v>6736.5093060632116</v>
      </c>
      <c r="BB729" s="64"/>
      <c r="BC729" s="66"/>
      <c r="BD729" s="66"/>
      <c r="BE729" s="66"/>
    </row>
    <row r="730" spans="2:57" ht="21" customHeight="1" x14ac:dyDescent="0.2">
      <c r="B730" s="51">
        <v>62</v>
      </c>
      <c r="C730" s="73" t="s">
        <v>42</v>
      </c>
      <c r="D730" s="67">
        <v>16635</v>
      </c>
      <c r="E730" s="206" t="s">
        <v>943</v>
      </c>
      <c r="F730" s="72" t="s">
        <v>928</v>
      </c>
      <c r="G730" s="169">
        <v>45323</v>
      </c>
      <c r="H730" s="56" t="str">
        <f t="shared" si="895"/>
        <v>0 AÑOS</v>
      </c>
      <c r="I730" s="57">
        <v>7822.9623119463167</v>
      </c>
      <c r="J730" s="58"/>
      <c r="K730" s="58"/>
      <c r="L730" s="59"/>
      <c r="M730" s="60">
        <v>4.0000000000000002E-4</v>
      </c>
      <c r="N730" s="61">
        <f t="shared" si="851"/>
        <v>312.91849247785268</v>
      </c>
      <c r="O730" s="58">
        <f t="shared" si="852"/>
        <v>8135.8808044241696</v>
      </c>
      <c r="P730" s="61">
        <f t="shared" si="880"/>
        <v>16271.761608848339</v>
      </c>
      <c r="Q730" s="61">
        <f t="shared" si="881"/>
        <v>12203.821206636254</v>
      </c>
      <c r="R730" s="61">
        <f t="shared" si="882"/>
        <v>4067.9404022120848</v>
      </c>
      <c r="S730" s="61">
        <f t="shared" si="883"/>
        <v>542.39205362827795</v>
      </c>
      <c r="T730" s="58">
        <f t="shared" si="884"/>
        <v>622.61183835990016</v>
      </c>
      <c r="U730" s="61">
        <f t="shared" si="885"/>
        <v>6101.910603318127</v>
      </c>
      <c r="V730" s="58">
        <f t="shared" si="886"/>
        <v>2033.9702011060424</v>
      </c>
      <c r="W730" s="62">
        <v>0</v>
      </c>
      <c r="X730" s="63">
        <f t="shared" si="853"/>
        <v>0</v>
      </c>
      <c r="Y730" s="61">
        <v>1077.5681930618007</v>
      </c>
      <c r="Z730" s="61">
        <v>0</v>
      </c>
      <c r="AA730" s="61">
        <f t="shared" si="854"/>
        <v>2033.9702011060424</v>
      </c>
      <c r="AB730" s="61">
        <f t="shared" si="855"/>
        <v>406.79404022120849</v>
      </c>
      <c r="AC730" s="61">
        <v>2542.6980454117233</v>
      </c>
      <c r="AD730" s="61">
        <v>1631.8967589332165</v>
      </c>
      <c r="AE730" s="61">
        <v>965.04834945784535</v>
      </c>
      <c r="AF730" s="61">
        <v>0</v>
      </c>
      <c r="AG730" s="61">
        <f t="shared" si="856"/>
        <v>561.3757755052676</v>
      </c>
      <c r="AH730" s="64"/>
      <c r="AI730" s="64"/>
      <c r="AJ730" s="51">
        <v>62</v>
      </c>
      <c r="AK730" s="73" t="s">
        <v>42</v>
      </c>
      <c r="AL730" s="67">
        <v>16635</v>
      </c>
      <c r="AM730" s="206" t="s">
        <v>943</v>
      </c>
      <c r="AN730" s="72" t="s">
        <v>928</v>
      </c>
      <c r="AO730" s="65">
        <f>Q730*11</f>
        <v>134242.03327299879</v>
      </c>
      <c r="AP730" s="65">
        <f>R730*11</f>
        <v>44747.344424332936</v>
      </c>
      <c r="AQ730" s="65">
        <f t="shared" ref="AQ730:AZ730" si="898">X730*11</f>
        <v>0</v>
      </c>
      <c r="AR730" s="65">
        <f t="shared" si="898"/>
        <v>11853.250123679807</v>
      </c>
      <c r="AS730" s="65">
        <f t="shared" si="898"/>
        <v>0</v>
      </c>
      <c r="AT730" s="65">
        <f t="shared" si="898"/>
        <v>22373.672212166468</v>
      </c>
      <c r="AU730" s="65">
        <f t="shared" si="898"/>
        <v>4474.7344424332932</v>
      </c>
      <c r="AV730" s="65">
        <f t="shared" si="898"/>
        <v>27969.678499528956</v>
      </c>
      <c r="AW730" s="65">
        <f t="shared" si="898"/>
        <v>17950.864348265382</v>
      </c>
      <c r="AX730" s="65">
        <f t="shared" si="898"/>
        <v>10615.531844036299</v>
      </c>
      <c r="AY730" s="65">
        <f t="shared" si="898"/>
        <v>0</v>
      </c>
      <c r="AZ730" s="65">
        <f t="shared" si="898"/>
        <v>6175.1335305579432</v>
      </c>
      <c r="BB730" s="64"/>
      <c r="BC730" s="66"/>
      <c r="BD730" s="66"/>
      <c r="BE730" s="66"/>
    </row>
    <row r="731" spans="2:57" ht="21" customHeight="1" x14ac:dyDescent="0.2">
      <c r="B731" s="51">
        <v>63</v>
      </c>
      <c r="C731" s="73" t="s">
        <v>42</v>
      </c>
      <c r="D731" s="67">
        <v>16614</v>
      </c>
      <c r="E731" s="72" t="s">
        <v>944</v>
      </c>
      <c r="F731" s="72" t="s">
        <v>928</v>
      </c>
      <c r="G731" s="169">
        <v>44852</v>
      </c>
      <c r="H731" s="56" t="str">
        <f t="shared" si="895"/>
        <v>2 AÑOS</v>
      </c>
      <c r="I731" s="57">
        <v>7822.9623119463167</v>
      </c>
      <c r="J731" s="58"/>
      <c r="K731" s="58"/>
      <c r="L731" s="59"/>
      <c r="M731" s="60">
        <v>4.0000000000000002E-4</v>
      </c>
      <c r="N731" s="61">
        <f t="shared" si="851"/>
        <v>312.91849247785268</v>
      </c>
      <c r="O731" s="58">
        <f t="shared" si="852"/>
        <v>8135.8808044241696</v>
      </c>
      <c r="P731" s="61">
        <f t="shared" si="880"/>
        <v>16271.761608848339</v>
      </c>
      <c r="Q731" s="61">
        <f t="shared" si="881"/>
        <v>12203.821206636254</v>
      </c>
      <c r="R731" s="61">
        <f t="shared" si="882"/>
        <v>4067.9404022120848</v>
      </c>
      <c r="S731" s="61">
        <f t="shared" si="883"/>
        <v>542.39205362827795</v>
      </c>
      <c r="T731" s="58">
        <f t="shared" si="884"/>
        <v>622.61183835990016</v>
      </c>
      <c r="U731" s="61">
        <f t="shared" si="885"/>
        <v>6101.910603318127</v>
      </c>
      <c r="V731" s="58">
        <f t="shared" si="886"/>
        <v>2033.9702011060424</v>
      </c>
      <c r="W731" s="62">
        <v>0</v>
      </c>
      <c r="X731" s="63">
        <f t="shared" si="853"/>
        <v>0</v>
      </c>
      <c r="Y731" s="61">
        <v>1077.5681930618007</v>
      </c>
      <c r="Z731" s="61">
        <v>0</v>
      </c>
      <c r="AA731" s="61">
        <f t="shared" si="854"/>
        <v>2033.9702011060424</v>
      </c>
      <c r="AB731" s="61">
        <f t="shared" si="855"/>
        <v>406.79404022120849</v>
      </c>
      <c r="AC731" s="61">
        <v>2542.6980454117233</v>
      </c>
      <c r="AD731" s="61">
        <v>1631.8967589332165</v>
      </c>
      <c r="AE731" s="61">
        <v>965.04834945784535</v>
      </c>
      <c r="AF731" s="61">
        <v>0</v>
      </c>
      <c r="AG731" s="61">
        <f t="shared" si="856"/>
        <v>561.3757755052676</v>
      </c>
      <c r="AH731" s="64"/>
      <c r="AI731" s="64"/>
      <c r="AJ731" s="51">
        <v>63</v>
      </c>
      <c r="AK731" s="73" t="s">
        <v>42</v>
      </c>
      <c r="AL731" s="67">
        <v>16614</v>
      </c>
      <c r="AM731" s="72" t="s">
        <v>944</v>
      </c>
      <c r="AN731" s="72" t="s">
        <v>928</v>
      </c>
      <c r="AO731" s="65">
        <f t="shared" ref="AO731:AP733" si="899">Q731*12</f>
        <v>146445.85447963505</v>
      </c>
      <c r="AP731" s="65">
        <f t="shared" si="899"/>
        <v>48815.284826545016</v>
      </c>
      <c r="AQ731" s="65">
        <f t="shared" ref="AQ731:AZ733" si="900">X731*12</f>
        <v>0</v>
      </c>
      <c r="AR731" s="65">
        <f t="shared" si="900"/>
        <v>12930.818316741608</v>
      </c>
      <c r="AS731" s="65">
        <f t="shared" si="900"/>
        <v>0</v>
      </c>
      <c r="AT731" s="65">
        <f t="shared" si="900"/>
        <v>24407.642413272508</v>
      </c>
      <c r="AU731" s="65">
        <f t="shared" si="900"/>
        <v>4881.5284826545021</v>
      </c>
      <c r="AV731" s="65">
        <f t="shared" si="900"/>
        <v>30512.376544940678</v>
      </c>
      <c r="AW731" s="65">
        <f t="shared" si="900"/>
        <v>19582.761107198596</v>
      </c>
      <c r="AX731" s="65">
        <f t="shared" si="900"/>
        <v>11580.580193494145</v>
      </c>
      <c r="AY731" s="65">
        <f t="shared" si="900"/>
        <v>0</v>
      </c>
      <c r="AZ731" s="65">
        <f t="shared" si="900"/>
        <v>6736.5093060632116</v>
      </c>
      <c r="BB731" s="64"/>
      <c r="BC731" s="66"/>
      <c r="BD731" s="66"/>
      <c r="BE731" s="66"/>
    </row>
    <row r="732" spans="2:57" ht="21" customHeight="1" x14ac:dyDescent="0.2">
      <c r="B732" s="51">
        <v>64</v>
      </c>
      <c r="C732" s="73" t="s">
        <v>42</v>
      </c>
      <c r="D732" s="67">
        <v>16629</v>
      </c>
      <c r="E732" s="72" t="s">
        <v>945</v>
      </c>
      <c r="F732" s="72" t="s">
        <v>928</v>
      </c>
      <c r="G732" s="169">
        <v>45108</v>
      </c>
      <c r="H732" s="56" t="str">
        <f t="shared" si="895"/>
        <v>1 AÑOS</v>
      </c>
      <c r="I732" s="57">
        <v>7822.9623119463167</v>
      </c>
      <c r="J732" s="61"/>
      <c r="K732" s="61"/>
      <c r="L732" s="280"/>
      <c r="M732" s="60">
        <v>4.0000000000000002E-4</v>
      </c>
      <c r="N732" s="61">
        <f t="shared" si="851"/>
        <v>312.91849247785268</v>
      </c>
      <c r="O732" s="58">
        <f t="shared" si="852"/>
        <v>8135.8808044241696</v>
      </c>
      <c r="P732" s="61">
        <f t="shared" si="880"/>
        <v>16271.761608848339</v>
      </c>
      <c r="Q732" s="61">
        <f t="shared" si="881"/>
        <v>12203.821206636254</v>
      </c>
      <c r="R732" s="61">
        <f t="shared" si="882"/>
        <v>4067.9404022120848</v>
      </c>
      <c r="S732" s="61">
        <f t="shared" si="883"/>
        <v>542.39205362827795</v>
      </c>
      <c r="T732" s="58">
        <f t="shared" si="884"/>
        <v>622.61183835990016</v>
      </c>
      <c r="U732" s="61">
        <f t="shared" si="885"/>
        <v>6101.910603318127</v>
      </c>
      <c r="V732" s="58">
        <f t="shared" si="886"/>
        <v>2033.9702011060424</v>
      </c>
      <c r="W732" s="62">
        <v>0</v>
      </c>
      <c r="X732" s="63">
        <f t="shared" si="853"/>
        <v>0</v>
      </c>
      <c r="Y732" s="61">
        <v>1077.5681930618007</v>
      </c>
      <c r="Z732" s="61">
        <v>0</v>
      </c>
      <c r="AA732" s="61">
        <f t="shared" si="854"/>
        <v>2033.9702011060424</v>
      </c>
      <c r="AB732" s="61">
        <f t="shared" si="855"/>
        <v>406.79404022120849</v>
      </c>
      <c r="AC732" s="61">
        <v>2542.6980454117233</v>
      </c>
      <c r="AD732" s="61">
        <v>1631.8967589332165</v>
      </c>
      <c r="AE732" s="61">
        <v>965.04834945784535</v>
      </c>
      <c r="AF732" s="61">
        <v>0</v>
      </c>
      <c r="AG732" s="61">
        <f t="shared" si="856"/>
        <v>561.3757755052676</v>
      </c>
      <c r="AH732" s="64"/>
      <c r="AI732" s="64"/>
      <c r="AJ732" s="51">
        <v>64</v>
      </c>
      <c r="AK732" s="73" t="s">
        <v>42</v>
      </c>
      <c r="AL732" s="67">
        <v>16629</v>
      </c>
      <c r="AM732" s="72" t="s">
        <v>945</v>
      </c>
      <c r="AN732" s="72" t="s">
        <v>928</v>
      </c>
      <c r="AO732" s="65">
        <f t="shared" si="899"/>
        <v>146445.85447963505</v>
      </c>
      <c r="AP732" s="65">
        <f t="shared" si="899"/>
        <v>48815.284826545016</v>
      </c>
      <c r="AQ732" s="65">
        <f t="shared" si="900"/>
        <v>0</v>
      </c>
      <c r="AR732" s="65">
        <f t="shared" si="900"/>
        <v>12930.818316741608</v>
      </c>
      <c r="AS732" s="65">
        <f t="shared" si="900"/>
        <v>0</v>
      </c>
      <c r="AT732" s="65">
        <f t="shared" si="900"/>
        <v>24407.642413272508</v>
      </c>
      <c r="AU732" s="65">
        <f t="shared" si="900"/>
        <v>4881.5284826545021</v>
      </c>
      <c r="AV732" s="65">
        <f t="shared" si="900"/>
        <v>30512.376544940678</v>
      </c>
      <c r="AW732" s="65">
        <f t="shared" si="900"/>
        <v>19582.761107198596</v>
      </c>
      <c r="AX732" s="65">
        <f t="shared" si="900"/>
        <v>11580.580193494145</v>
      </c>
      <c r="AY732" s="65">
        <f t="shared" si="900"/>
        <v>0</v>
      </c>
      <c r="AZ732" s="65">
        <f t="shared" si="900"/>
        <v>6736.5093060632116</v>
      </c>
      <c r="BB732" s="64"/>
      <c r="BC732" s="66"/>
      <c r="BD732" s="66"/>
      <c r="BE732" s="66"/>
    </row>
    <row r="733" spans="2:57" ht="21" customHeight="1" x14ac:dyDescent="0.2">
      <c r="B733" s="51">
        <v>65</v>
      </c>
      <c r="C733" s="73" t="s">
        <v>42</v>
      </c>
      <c r="D733" s="78">
        <v>16151</v>
      </c>
      <c r="E733" s="72" t="s">
        <v>946</v>
      </c>
      <c r="F733" s="72" t="s">
        <v>928</v>
      </c>
      <c r="G733" s="169">
        <v>37727</v>
      </c>
      <c r="H733" s="56" t="str">
        <f t="shared" si="895"/>
        <v>21 AÑOS</v>
      </c>
      <c r="I733" s="57">
        <v>7822.9623119463167</v>
      </c>
      <c r="J733" s="58"/>
      <c r="K733" s="58"/>
      <c r="L733" s="59"/>
      <c r="M733" s="60">
        <v>4.0000000000000002E-4</v>
      </c>
      <c r="N733" s="61">
        <f t="shared" si="851"/>
        <v>312.91849247785268</v>
      </c>
      <c r="O733" s="58">
        <f t="shared" si="852"/>
        <v>8135.8808044241696</v>
      </c>
      <c r="P733" s="61">
        <f t="shared" si="880"/>
        <v>16271.761608848339</v>
      </c>
      <c r="Q733" s="61">
        <f t="shared" si="881"/>
        <v>12203.821206636254</v>
      </c>
      <c r="R733" s="61">
        <f t="shared" si="882"/>
        <v>4067.9404022120848</v>
      </c>
      <c r="S733" s="61">
        <f t="shared" si="883"/>
        <v>542.39205362827795</v>
      </c>
      <c r="T733" s="58">
        <f t="shared" si="884"/>
        <v>622.61183835990016</v>
      </c>
      <c r="U733" s="61">
        <f t="shared" si="885"/>
        <v>6101.910603318127</v>
      </c>
      <c r="V733" s="58">
        <f t="shared" si="886"/>
        <v>2033.9702011060424</v>
      </c>
      <c r="W733" s="62">
        <v>0</v>
      </c>
      <c r="X733" s="63">
        <f t="shared" si="853"/>
        <v>0</v>
      </c>
      <c r="Y733" s="61">
        <v>1077.5681930618007</v>
      </c>
      <c r="Z733" s="61">
        <v>0</v>
      </c>
      <c r="AA733" s="61">
        <f t="shared" si="854"/>
        <v>2033.9702011060424</v>
      </c>
      <c r="AB733" s="61">
        <f t="shared" si="855"/>
        <v>406.79404022120849</v>
      </c>
      <c r="AC733" s="61">
        <v>2542.6980454117233</v>
      </c>
      <c r="AD733" s="61">
        <v>1631.8967589332165</v>
      </c>
      <c r="AE733" s="61">
        <v>965.04834945784535</v>
      </c>
      <c r="AF733" s="61">
        <v>0</v>
      </c>
      <c r="AG733" s="61">
        <f t="shared" si="856"/>
        <v>561.3757755052676</v>
      </c>
      <c r="AH733" s="64"/>
      <c r="AI733" s="64"/>
      <c r="AJ733" s="51">
        <v>65</v>
      </c>
      <c r="AK733" s="73" t="s">
        <v>42</v>
      </c>
      <c r="AL733" s="78">
        <v>16151</v>
      </c>
      <c r="AM733" s="72" t="s">
        <v>946</v>
      </c>
      <c r="AN733" s="72" t="s">
        <v>928</v>
      </c>
      <c r="AO733" s="65">
        <f t="shared" si="899"/>
        <v>146445.85447963505</v>
      </c>
      <c r="AP733" s="65">
        <f t="shared" si="899"/>
        <v>48815.284826545016</v>
      </c>
      <c r="AQ733" s="65">
        <f t="shared" si="900"/>
        <v>0</v>
      </c>
      <c r="AR733" s="65">
        <f t="shared" si="900"/>
        <v>12930.818316741608</v>
      </c>
      <c r="AS733" s="65">
        <f t="shared" si="900"/>
        <v>0</v>
      </c>
      <c r="AT733" s="65">
        <f t="shared" si="900"/>
        <v>24407.642413272508</v>
      </c>
      <c r="AU733" s="65">
        <f t="shared" si="900"/>
        <v>4881.5284826545021</v>
      </c>
      <c r="AV733" s="65">
        <f t="shared" si="900"/>
        <v>30512.376544940678</v>
      </c>
      <c r="AW733" s="65">
        <f t="shared" si="900"/>
        <v>19582.761107198596</v>
      </c>
      <c r="AX733" s="65">
        <f t="shared" si="900"/>
        <v>11580.580193494145</v>
      </c>
      <c r="AY733" s="65">
        <f t="shared" si="900"/>
        <v>0</v>
      </c>
      <c r="AZ733" s="65">
        <f t="shared" si="900"/>
        <v>6736.5093060632116</v>
      </c>
      <c r="BB733" s="64"/>
      <c r="BC733" s="66"/>
      <c r="BD733" s="66"/>
      <c r="BE733" s="66"/>
    </row>
    <row r="734" spans="2:57" ht="21" customHeight="1" x14ac:dyDescent="0.2">
      <c r="B734" s="51">
        <v>66</v>
      </c>
      <c r="C734" s="73" t="s">
        <v>42</v>
      </c>
      <c r="D734" s="78">
        <v>16636</v>
      </c>
      <c r="E734" s="206" t="s">
        <v>947</v>
      </c>
      <c r="F734" s="72" t="s">
        <v>928</v>
      </c>
      <c r="G734" s="169">
        <v>45323</v>
      </c>
      <c r="H734" s="55" t="str">
        <f t="shared" si="895"/>
        <v>0 AÑOS</v>
      </c>
      <c r="I734" s="57">
        <v>7822.9623119463167</v>
      </c>
      <c r="J734" s="57"/>
      <c r="K734" s="57"/>
      <c r="L734" s="74"/>
      <c r="M734" s="171">
        <v>4.0000000000000002E-4</v>
      </c>
      <c r="N734" s="81">
        <f t="shared" ref="N734:N797" si="901">I734*0.04</f>
        <v>312.91849247785268</v>
      </c>
      <c r="O734" s="57">
        <f t="shared" ref="O734:O797" si="902">I734+N734</f>
        <v>8135.8808044241696</v>
      </c>
      <c r="P734" s="81">
        <f t="shared" si="880"/>
        <v>16271.761608848339</v>
      </c>
      <c r="Q734" s="81">
        <f t="shared" si="881"/>
        <v>12203.821206636254</v>
      </c>
      <c r="R734" s="81">
        <f t="shared" si="882"/>
        <v>4067.9404022120848</v>
      </c>
      <c r="S734" s="81">
        <f t="shared" si="883"/>
        <v>542.39205362827795</v>
      </c>
      <c r="T734" s="57">
        <f t="shared" si="884"/>
        <v>622.61183835990016</v>
      </c>
      <c r="U734" s="81">
        <f t="shared" si="885"/>
        <v>6101.910603318127</v>
      </c>
      <c r="V734" s="57">
        <f t="shared" si="886"/>
        <v>2033.9702011060424</v>
      </c>
      <c r="W734" s="101">
        <v>0</v>
      </c>
      <c r="X734" s="158">
        <f t="shared" ref="X734:X797" si="903">P734*W734</f>
        <v>0</v>
      </c>
      <c r="Y734" s="81">
        <v>1077.5681930618007</v>
      </c>
      <c r="Z734" s="81">
        <v>0</v>
      </c>
      <c r="AA734" s="81">
        <f t="shared" ref="AA734:AA797" si="904">(S734*45)/12</f>
        <v>2033.9702011060424</v>
      </c>
      <c r="AB734" s="81">
        <f t="shared" ref="AB734:AB797" si="905">(S734*10)*(0.45*2)/12</f>
        <v>406.79404022120849</v>
      </c>
      <c r="AC734" s="81">
        <v>2542.6980454117233</v>
      </c>
      <c r="AD734" s="81">
        <v>1631.8967589332165</v>
      </c>
      <c r="AE734" s="81">
        <v>965.04834945784535</v>
      </c>
      <c r="AF734" s="81">
        <v>0</v>
      </c>
      <c r="AG734" s="81">
        <f t="shared" ref="AG734:AG797" si="906">(P734+AA734+AB734)*0.03</f>
        <v>561.3757755052676</v>
      </c>
      <c r="AH734" s="64"/>
      <c r="AI734" s="64"/>
      <c r="AJ734" s="51">
        <v>66</v>
      </c>
      <c r="AK734" s="73" t="s">
        <v>42</v>
      </c>
      <c r="AL734" s="78">
        <v>16636</v>
      </c>
      <c r="AM734" s="206" t="s">
        <v>947</v>
      </c>
      <c r="AN734" s="72" t="s">
        <v>928</v>
      </c>
      <c r="AO734" s="159">
        <f>Q734*11</f>
        <v>134242.03327299879</v>
      </c>
      <c r="AP734" s="159">
        <f>R734*11</f>
        <v>44747.344424332936</v>
      </c>
      <c r="AQ734" s="159">
        <f t="shared" ref="AQ734:AZ734" si="907">X734*11</f>
        <v>0</v>
      </c>
      <c r="AR734" s="159">
        <f t="shared" si="907"/>
        <v>11853.250123679807</v>
      </c>
      <c r="AS734" s="159">
        <f t="shared" si="907"/>
        <v>0</v>
      </c>
      <c r="AT734" s="159">
        <f t="shared" si="907"/>
        <v>22373.672212166468</v>
      </c>
      <c r="AU734" s="159">
        <f t="shared" si="907"/>
        <v>4474.7344424332932</v>
      </c>
      <c r="AV734" s="159">
        <f t="shared" si="907"/>
        <v>27969.678499528956</v>
      </c>
      <c r="AW734" s="159">
        <f t="shared" si="907"/>
        <v>17950.864348265382</v>
      </c>
      <c r="AX734" s="159">
        <f t="shared" si="907"/>
        <v>10615.531844036299</v>
      </c>
      <c r="AY734" s="159">
        <f t="shared" si="907"/>
        <v>0</v>
      </c>
      <c r="AZ734" s="159">
        <f t="shared" si="907"/>
        <v>6175.1335305579432</v>
      </c>
      <c r="BB734" s="64"/>
      <c r="BC734" s="66"/>
      <c r="BD734" s="66"/>
      <c r="BE734" s="66"/>
    </row>
    <row r="735" spans="2:57" ht="21" customHeight="1" x14ac:dyDescent="0.2">
      <c r="B735" s="51">
        <v>67</v>
      </c>
      <c r="C735" s="73" t="s">
        <v>42</v>
      </c>
      <c r="D735" s="78">
        <v>16296</v>
      </c>
      <c r="E735" s="72" t="s">
        <v>948</v>
      </c>
      <c r="F735" s="72" t="s">
        <v>928</v>
      </c>
      <c r="G735" s="55">
        <v>40088</v>
      </c>
      <c r="H735" s="56" t="str">
        <f t="shared" si="895"/>
        <v>15 AÑOS</v>
      </c>
      <c r="I735" s="57">
        <v>7822.9623119463167</v>
      </c>
      <c r="J735" s="58"/>
      <c r="K735" s="58"/>
      <c r="L735" s="59"/>
      <c r="M735" s="60">
        <v>4.0000000000000002E-4</v>
      </c>
      <c r="N735" s="61">
        <f t="shared" si="901"/>
        <v>312.91849247785268</v>
      </c>
      <c r="O735" s="58">
        <f t="shared" si="902"/>
        <v>8135.8808044241696</v>
      </c>
      <c r="P735" s="61">
        <f t="shared" si="880"/>
        <v>16271.761608848339</v>
      </c>
      <c r="Q735" s="61">
        <f t="shared" si="881"/>
        <v>12203.821206636254</v>
      </c>
      <c r="R735" s="61">
        <f t="shared" si="882"/>
        <v>4067.9404022120848</v>
      </c>
      <c r="S735" s="61">
        <f t="shared" si="883"/>
        <v>542.39205362827795</v>
      </c>
      <c r="T735" s="58">
        <f t="shared" si="884"/>
        <v>622.61183835990016</v>
      </c>
      <c r="U735" s="61">
        <f t="shared" si="885"/>
        <v>6101.910603318127</v>
      </c>
      <c r="V735" s="58">
        <f t="shared" si="886"/>
        <v>2033.9702011060424</v>
      </c>
      <c r="W735" s="62">
        <v>0</v>
      </c>
      <c r="X735" s="63">
        <f t="shared" si="903"/>
        <v>0</v>
      </c>
      <c r="Y735" s="61">
        <v>1077.5681930618007</v>
      </c>
      <c r="Z735" s="61">
        <v>0</v>
      </c>
      <c r="AA735" s="61">
        <f t="shared" si="904"/>
        <v>2033.9702011060424</v>
      </c>
      <c r="AB735" s="61">
        <f t="shared" si="905"/>
        <v>406.79404022120849</v>
      </c>
      <c r="AC735" s="61">
        <v>2542.6980454117233</v>
      </c>
      <c r="AD735" s="61">
        <v>1631.8967589332165</v>
      </c>
      <c r="AE735" s="61">
        <v>965.04834945784535</v>
      </c>
      <c r="AF735" s="61">
        <v>0</v>
      </c>
      <c r="AG735" s="61">
        <f t="shared" si="906"/>
        <v>561.3757755052676</v>
      </c>
      <c r="AH735" s="64"/>
      <c r="AI735" s="64"/>
      <c r="AJ735" s="51">
        <v>67</v>
      </c>
      <c r="AK735" s="73" t="s">
        <v>42</v>
      </c>
      <c r="AL735" s="78">
        <v>16296</v>
      </c>
      <c r="AM735" s="72" t="s">
        <v>948</v>
      </c>
      <c r="AN735" s="72" t="s">
        <v>928</v>
      </c>
      <c r="AO735" s="65">
        <f t="shared" ref="AO735:AP738" si="908">Q735*12</f>
        <v>146445.85447963505</v>
      </c>
      <c r="AP735" s="65">
        <f t="shared" si="908"/>
        <v>48815.284826545016</v>
      </c>
      <c r="AQ735" s="65">
        <f t="shared" ref="AQ735:AZ738" si="909">X735*12</f>
        <v>0</v>
      </c>
      <c r="AR735" s="65">
        <f t="shared" si="909"/>
        <v>12930.818316741608</v>
      </c>
      <c r="AS735" s="65">
        <f t="shared" si="909"/>
        <v>0</v>
      </c>
      <c r="AT735" s="65">
        <f t="shared" si="909"/>
        <v>24407.642413272508</v>
      </c>
      <c r="AU735" s="65">
        <f t="shared" si="909"/>
        <v>4881.5284826545021</v>
      </c>
      <c r="AV735" s="65">
        <f t="shared" si="909"/>
        <v>30512.376544940678</v>
      </c>
      <c r="AW735" s="65">
        <f t="shared" si="909"/>
        <v>19582.761107198596</v>
      </c>
      <c r="AX735" s="65">
        <f t="shared" si="909"/>
        <v>11580.580193494145</v>
      </c>
      <c r="AY735" s="65">
        <f t="shared" si="909"/>
        <v>0</v>
      </c>
      <c r="AZ735" s="65">
        <f t="shared" si="909"/>
        <v>6736.5093060632116</v>
      </c>
      <c r="BB735" s="64"/>
      <c r="BC735" s="66"/>
      <c r="BD735" s="66"/>
      <c r="BE735" s="66"/>
    </row>
    <row r="736" spans="2:57" ht="21" customHeight="1" x14ac:dyDescent="0.2">
      <c r="B736" s="51">
        <v>68</v>
      </c>
      <c r="C736" s="73" t="s">
        <v>42</v>
      </c>
      <c r="D736" s="67">
        <v>16612</v>
      </c>
      <c r="E736" s="72" t="s">
        <v>949</v>
      </c>
      <c r="F736" s="72" t="s">
        <v>928</v>
      </c>
      <c r="G736" s="169">
        <v>44774</v>
      </c>
      <c r="H736" s="56" t="str">
        <f t="shared" si="895"/>
        <v>2 AÑOS</v>
      </c>
      <c r="I736" s="57">
        <v>7822.9623119463167</v>
      </c>
      <c r="J736" s="58"/>
      <c r="K736" s="58"/>
      <c r="L736" s="59"/>
      <c r="M736" s="60">
        <v>4.0000000000000002E-4</v>
      </c>
      <c r="N736" s="61">
        <f t="shared" si="901"/>
        <v>312.91849247785268</v>
      </c>
      <c r="O736" s="58">
        <f t="shared" si="902"/>
        <v>8135.8808044241696</v>
      </c>
      <c r="P736" s="61">
        <f t="shared" si="880"/>
        <v>16271.761608848339</v>
      </c>
      <c r="Q736" s="61">
        <f t="shared" si="881"/>
        <v>12203.821206636254</v>
      </c>
      <c r="R736" s="61">
        <f t="shared" si="882"/>
        <v>4067.9404022120848</v>
      </c>
      <c r="S736" s="61">
        <f t="shared" si="883"/>
        <v>542.39205362827795</v>
      </c>
      <c r="T736" s="58">
        <f t="shared" si="884"/>
        <v>622.61183835990016</v>
      </c>
      <c r="U736" s="61">
        <f t="shared" si="885"/>
        <v>6101.910603318127</v>
      </c>
      <c r="V736" s="58">
        <f t="shared" si="886"/>
        <v>2033.9702011060424</v>
      </c>
      <c r="W736" s="62">
        <v>0</v>
      </c>
      <c r="X736" s="63">
        <f t="shared" si="903"/>
        <v>0</v>
      </c>
      <c r="Y736" s="61">
        <v>1077.5681930618007</v>
      </c>
      <c r="Z736" s="61">
        <v>0</v>
      </c>
      <c r="AA736" s="61">
        <f t="shared" si="904"/>
        <v>2033.9702011060424</v>
      </c>
      <c r="AB736" s="61">
        <f t="shared" si="905"/>
        <v>406.79404022120849</v>
      </c>
      <c r="AC736" s="61">
        <v>2542.6980454117233</v>
      </c>
      <c r="AD736" s="61">
        <v>1631.8967589332165</v>
      </c>
      <c r="AE736" s="61">
        <v>965.04834945784535</v>
      </c>
      <c r="AF736" s="61">
        <v>0</v>
      </c>
      <c r="AG736" s="61">
        <f t="shared" si="906"/>
        <v>561.3757755052676</v>
      </c>
      <c r="AH736" s="64"/>
      <c r="AI736" s="64"/>
      <c r="AJ736" s="51">
        <v>68</v>
      </c>
      <c r="AK736" s="73" t="s">
        <v>42</v>
      </c>
      <c r="AL736" s="67">
        <v>16612</v>
      </c>
      <c r="AM736" s="72" t="s">
        <v>949</v>
      </c>
      <c r="AN736" s="72" t="s">
        <v>928</v>
      </c>
      <c r="AO736" s="65">
        <f t="shared" si="908"/>
        <v>146445.85447963505</v>
      </c>
      <c r="AP736" s="65">
        <f t="shared" si="908"/>
        <v>48815.284826545016</v>
      </c>
      <c r="AQ736" s="65">
        <f t="shared" si="909"/>
        <v>0</v>
      </c>
      <c r="AR736" s="65">
        <f t="shared" si="909"/>
        <v>12930.818316741608</v>
      </c>
      <c r="AS736" s="65">
        <f t="shared" si="909"/>
        <v>0</v>
      </c>
      <c r="AT736" s="65">
        <f t="shared" si="909"/>
        <v>24407.642413272508</v>
      </c>
      <c r="AU736" s="65">
        <f t="shared" si="909"/>
        <v>4881.5284826545021</v>
      </c>
      <c r="AV736" s="65">
        <f t="shared" si="909"/>
        <v>30512.376544940678</v>
      </c>
      <c r="AW736" s="65">
        <f t="shared" si="909"/>
        <v>19582.761107198596</v>
      </c>
      <c r="AX736" s="65">
        <f t="shared" si="909"/>
        <v>11580.580193494145</v>
      </c>
      <c r="AY736" s="65">
        <f t="shared" si="909"/>
        <v>0</v>
      </c>
      <c r="AZ736" s="65">
        <f t="shared" si="909"/>
        <v>6736.5093060632116</v>
      </c>
      <c r="BB736" s="64"/>
      <c r="BC736" s="66"/>
      <c r="BD736" s="66"/>
      <c r="BE736" s="66"/>
    </row>
    <row r="737" spans="2:57" ht="21" customHeight="1" x14ac:dyDescent="0.2">
      <c r="B737" s="51">
        <v>69</v>
      </c>
      <c r="C737" s="73" t="s">
        <v>42</v>
      </c>
      <c r="D737" s="67">
        <v>16526</v>
      </c>
      <c r="E737" s="73" t="s">
        <v>950</v>
      </c>
      <c r="F737" s="72" t="s">
        <v>951</v>
      </c>
      <c r="G737" s="169">
        <v>43619</v>
      </c>
      <c r="H737" s="55" t="str">
        <f t="shared" si="895"/>
        <v>5 AÑOS</v>
      </c>
      <c r="I737" s="57">
        <v>7822.9623119463167</v>
      </c>
      <c r="J737" s="57"/>
      <c r="K737" s="57"/>
      <c r="L737" s="74"/>
      <c r="M737" s="171">
        <v>4.0000000000000002E-4</v>
      </c>
      <c r="N737" s="81">
        <f t="shared" si="901"/>
        <v>312.91849247785268</v>
      </c>
      <c r="O737" s="57">
        <f t="shared" si="902"/>
        <v>8135.8808044241696</v>
      </c>
      <c r="P737" s="81">
        <f t="shared" si="880"/>
        <v>16271.761608848339</v>
      </c>
      <c r="Q737" s="81">
        <f t="shared" si="881"/>
        <v>12203.821206636254</v>
      </c>
      <c r="R737" s="81">
        <f t="shared" si="882"/>
        <v>4067.9404022120848</v>
      </c>
      <c r="S737" s="81">
        <f t="shared" si="883"/>
        <v>542.39205362827795</v>
      </c>
      <c r="T737" s="57">
        <f t="shared" si="884"/>
        <v>622.61183835990016</v>
      </c>
      <c r="U737" s="81">
        <f t="shared" si="885"/>
        <v>6101.910603318127</v>
      </c>
      <c r="V737" s="57">
        <f t="shared" si="886"/>
        <v>2033.9702011060424</v>
      </c>
      <c r="W737" s="101">
        <v>0</v>
      </c>
      <c r="X737" s="158">
        <f t="shared" si="903"/>
        <v>0</v>
      </c>
      <c r="Y737" s="81">
        <v>1077.5681930618007</v>
      </c>
      <c r="Z737" s="81">
        <v>0</v>
      </c>
      <c r="AA737" s="81">
        <f t="shared" si="904"/>
        <v>2033.9702011060424</v>
      </c>
      <c r="AB737" s="81">
        <f t="shared" si="905"/>
        <v>406.79404022120849</v>
      </c>
      <c r="AC737" s="81">
        <v>2542.6980454117233</v>
      </c>
      <c r="AD737" s="81">
        <v>1631.8967589332165</v>
      </c>
      <c r="AE737" s="81">
        <v>965.04834945784535</v>
      </c>
      <c r="AF737" s="81">
        <v>0</v>
      </c>
      <c r="AG737" s="81">
        <f t="shared" si="906"/>
        <v>561.3757755052676</v>
      </c>
      <c r="AH737" s="64"/>
      <c r="AI737" s="64"/>
      <c r="AJ737" s="51">
        <v>69</v>
      </c>
      <c r="AK737" s="73" t="s">
        <v>42</v>
      </c>
      <c r="AL737" s="67">
        <v>16526</v>
      </c>
      <c r="AM737" s="73" t="s">
        <v>950</v>
      </c>
      <c r="AN737" s="72" t="s">
        <v>951</v>
      </c>
      <c r="AO737" s="159">
        <f t="shared" si="908"/>
        <v>146445.85447963505</v>
      </c>
      <c r="AP737" s="159">
        <f t="shared" si="908"/>
        <v>48815.284826545016</v>
      </c>
      <c r="AQ737" s="159">
        <f t="shared" si="909"/>
        <v>0</v>
      </c>
      <c r="AR737" s="159">
        <f t="shared" si="909"/>
        <v>12930.818316741608</v>
      </c>
      <c r="AS737" s="159">
        <f t="shared" si="909"/>
        <v>0</v>
      </c>
      <c r="AT737" s="159">
        <f t="shared" si="909"/>
        <v>24407.642413272508</v>
      </c>
      <c r="AU737" s="159">
        <f t="shared" si="909"/>
        <v>4881.5284826545021</v>
      </c>
      <c r="AV737" s="159">
        <f t="shared" si="909"/>
        <v>30512.376544940678</v>
      </c>
      <c r="AW737" s="159">
        <f t="shared" si="909"/>
        <v>19582.761107198596</v>
      </c>
      <c r="AX737" s="159">
        <f t="shared" si="909"/>
        <v>11580.580193494145</v>
      </c>
      <c r="AY737" s="159">
        <f t="shared" si="909"/>
        <v>0</v>
      </c>
      <c r="AZ737" s="159">
        <f t="shared" si="909"/>
        <v>6736.5093060632116</v>
      </c>
      <c r="BB737" s="64"/>
      <c r="BC737" s="66"/>
      <c r="BD737" s="66"/>
      <c r="BE737" s="66"/>
    </row>
    <row r="738" spans="2:57" ht="21" customHeight="1" x14ac:dyDescent="0.2">
      <c r="B738" s="51">
        <v>70</v>
      </c>
      <c r="C738" s="73" t="s">
        <v>42</v>
      </c>
      <c r="D738" s="67">
        <v>16497</v>
      </c>
      <c r="E738" s="72" t="s">
        <v>952</v>
      </c>
      <c r="F738" s="72" t="s">
        <v>928</v>
      </c>
      <c r="G738" s="169">
        <v>44875</v>
      </c>
      <c r="H738" s="55" t="str">
        <f t="shared" si="895"/>
        <v>2 AÑOS</v>
      </c>
      <c r="I738" s="57">
        <v>7822.9623119463167</v>
      </c>
      <c r="J738" s="57"/>
      <c r="K738" s="57"/>
      <c r="L738" s="74"/>
      <c r="M738" s="171">
        <v>4.0000000000000002E-4</v>
      </c>
      <c r="N738" s="81">
        <f t="shared" si="901"/>
        <v>312.91849247785268</v>
      </c>
      <c r="O738" s="57">
        <f t="shared" si="902"/>
        <v>8135.8808044241696</v>
      </c>
      <c r="P738" s="81">
        <f t="shared" si="880"/>
        <v>16271.761608848339</v>
      </c>
      <c r="Q738" s="81">
        <f t="shared" si="881"/>
        <v>12203.821206636254</v>
      </c>
      <c r="R738" s="81">
        <f t="shared" si="882"/>
        <v>4067.9404022120848</v>
      </c>
      <c r="S738" s="81">
        <f t="shared" si="883"/>
        <v>542.39205362827795</v>
      </c>
      <c r="T738" s="57">
        <f t="shared" si="884"/>
        <v>622.61183835990016</v>
      </c>
      <c r="U738" s="81">
        <f t="shared" si="885"/>
        <v>6101.910603318127</v>
      </c>
      <c r="V738" s="57">
        <f t="shared" si="886"/>
        <v>2033.9702011060424</v>
      </c>
      <c r="W738" s="101">
        <v>0</v>
      </c>
      <c r="X738" s="158">
        <f t="shared" si="903"/>
        <v>0</v>
      </c>
      <c r="Y738" s="81">
        <v>1077.5681930618007</v>
      </c>
      <c r="Z738" s="81">
        <v>0</v>
      </c>
      <c r="AA738" s="81">
        <f t="shared" si="904"/>
        <v>2033.9702011060424</v>
      </c>
      <c r="AB738" s="81">
        <f t="shared" si="905"/>
        <v>406.79404022120849</v>
      </c>
      <c r="AC738" s="81">
        <v>2542.6980454117233</v>
      </c>
      <c r="AD738" s="81">
        <v>1631.8967589332165</v>
      </c>
      <c r="AE738" s="81">
        <v>965.04834945784535</v>
      </c>
      <c r="AF738" s="81">
        <v>0</v>
      </c>
      <c r="AG738" s="81">
        <f t="shared" si="906"/>
        <v>561.3757755052676</v>
      </c>
      <c r="AH738" s="64"/>
      <c r="AI738" s="64"/>
      <c r="AJ738" s="51">
        <v>70</v>
      </c>
      <c r="AK738" s="73" t="s">
        <v>42</v>
      </c>
      <c r="AL738" s="67">
        <v>16497</v>
      </c>
      <c r="AM738" s="72" t="s">
        <v>952</v>
      </c>
      <c r="AN738" s="72" t="s">
        <v>928</v>
      </c>
      <c r="AO738" s="65">
        <f t="shared" si="908"/>
        <v>146445.85447963505</v>
      </c>
      <c r="AP738" s="65">
        <f t="shared" si="908"/>
        <v>48815.284826545016</v>
      </c>
      <c r="AQ738" s="65">
        <f t="shared" si="909"/>
        <v>0</v>
      </c>
      <c r="AR738" s="65">
        <f t="shared" si="909"/>
        <v>12930.818316741608</v>
      </c>
      <c r="AS738" s="65">
        <f t="shared" si="909"/>
        <v>0</v>
      </c>
      <c r="AT738" s="65">
        <f t="shared" si="909"/>
        <v>24407.642413272508</v>
      </c>
      <c r="AU738" s="65">
        <f t="shared" si="909"/>
        <v>4881.5284826545021</v>
      </c>
      <c r="AV738" s="65">
        <f t="shared" si="909"/>
        <v>30512.376544940678</v>
      </c>
      <c r="AW738" s="65">
        <f t="shared" si="909"/>
        <v>19582.761107198596</v>
      </c>
      <c r="AX738" s="65">
        <f t="shared" si="909"/>
        <v>11580.580193494145</v>
      </c>
      <c r="AY738" s="65">
        <f t="shared" si="909"/>
        <v>0</v>
      </c>
      <c r="AZ738" s="65">
        <f t="shared" si="909"/>
        <v>6736.5093060632116</v>
      </c>
      <c r="BB738" s="64"/>
      <c r="BC738" s="66"/>
      <c r="BD738" s="66"/>
      <c r="BE738" s="66"/>
    </row>
    <row r="739" spans="2:57" ht="21" customHeight="1" x14ac:dyDescent="0.2">
      <c r="B739" s="51">
        <v>71</v>
      </c>
      <c r="C739" s="73" t="s">
        <v>42</v>
      </c>
      <c r="D739" s="67">
        <v>16483</v>
      </c>
      <c r="E739" s="72" t="s">
        <v>953</v>
      </c>
      <c r="F739" s="72" t="s">
        <v>928</v>
      </c>
      <c r="G739" s="279">
        <v>45459</v>
      </c>
      <c r="H739" s="55" t="str">
        <f t="shared" si="895"/>
        <v>0 AÑOS</v>
      </c>
      <c r="I739" s="57">
        <v>7822.9623119463167</v>
      </c>
      <c r="J739" s="57"/>
      <c r="K739" s="57"/>
      <c r="L739" s="74"/>
      <c r="M739" s="171">
        <v>4.0000000000000002E-4</v>
      </c>
      <c r="N739" s="81">
        <f t="shared" si="901"/>
        <v>312.91849247785268</v>
      </c>
      <c r="O739" s="57">
        <f t="shared" si="902"/>
        <v>8135.8808044241696</v>
      </c>
      <c r="P739" s="81">
        <f t="shared" si="880"/>
        <v>16271.761608848339</v>
      </c>
      <c r="Q739" s="81">
        <f t="shared" si="881"/>
        <v>12203.821206636254</v>
      </c>
      <c r="R739" s="81">
        <f t="shared" si="882"/>
        <v>4067.9404022120848</v>
      </c>
      <c r="S739" s="81">
        <f t="shared" si="883"/>
        <v>542.39205362827795</v>
      </c>
      <c r="T739" s="57">
        <f t="shared" si="884"/>
        <v>622.61183835990016</v>
      </c>
      <c r="U739" s="81">
        <f t="shared" si="885"/>
        <v>6101.910603318127</v>
      </c>
      <c r="V739" s="57">
        <f t="shared" si="886"/>
        <v>2033.9702011060424</v>
      </c>
      <c r="W739" s="101">
        <v>0</v>
      </c>
      <c r="X739" s="158">
        <f t="shared" si="903"/>
        <v>0</v>
      </c>
      <c r="Y739" s="81">
        <v>1077.5681930618007</v>
      </c>
      <c r="Z739" s="81">
        <v>0</v>
      </c>
      <c r="AA739" s="81">
        <f t="shared" si="904"/>
        <v>2033.9702011060424</v>
      </c>
      <c r="AB739" s="81">
        <f t="shared" si="905"/>
        <v>406.79404022120849</v>
      </c>
      <c r="AC739" s="81">
        <v>2542.6980454117233</v>
      </c>
      <c r="AD739" s="81">
        <v>1631.8967589332165</v>
      </c>
      <c r="AE739" s="81">
        <v>965.04834945784535</v>
      </c>
      <c r="AF739" s="81">
        <v>0</v>
      </c>
      <c r="AG739" s="81">
        <f t="shared" si="906"/>
        <v>561.3757755052676</v>
      </c>
      <c r="AH739" s="64"/>
      <c r="AI739" s="64"/>
      <c r="AJ739" s="51">
        <v>71</v>
      </c>
      <c r="AK739" s="73" t="s">
        <v>42</v>
      </c>
      <c r="AL739" s="67">
        <v>16483</v>
      </c>
      <c r="AM739" s="72" t="s">
        <v>953</v>
      </c>
      <c r="AN739" s="72" t="s">
        <v>928</v>
      </c>
      <c r="AO739" s="65">
        <f>Q739*7</f>
        <v>85426.74844645377</v>
      </c>
      <c r="AP739" s="65">
        <f>R739*7</f>
        <v>28475.582815484595</v>
      </c>
      <c r="AQ739" s="65">
        <f t="shared" ref="AQ739:AZ739" si="910">X739*7</f>
        <v>0</v>
      </c>
      <c r="AR739" s="65">
        <f t="shared" si="910"/>
        <v>7542.9773514326043</v>
      </c>
      <c r="AS739" s="65">
        <f t="shared" si="910"/>
        <v>0</v>
      </c>
      <c r="AT739" s="65">
        <f t="shared" si="910"/>
        <v>14237.791407742297</v>
      </c>
      <c r="AU739" s="65">
        <f t="shared" si="910"/>
        <v>2847.5582815484595</v>
      </c>
      <c r="AV739" s="65">
        <f t="shared" si="910"/>
        <v>17798.886317882065</v>
      </c>
      <c r="AW739" s="65">
        <f t="shared" si="910"/>
        <v>11423.277312532515</v>
      </c>
      <c r="AX739" s="65">
        <f t="shared" si="910"/>
        <v>6755.3384462049171</v>
      </c>
      <c r="AY739" s="65">
        <f t="shared" si="910"/>
        <v>0</v>
      </c>
      <c r="AZ739" s="65">
        <f t="shared" si="910"/>
        <v>3929.6304285368733</v>
      </c>
      <c r="BB739" s="64"/>
      <c r="BC739" s="66"/>
      <c r="BD739" s="66"/>
      <c r="BE739" s="66"/>
    </row>
    <row r="740" spans="2:57" ht="21" customHeight="1" x14ac:dyDescent="0.2">
      <c r="B740" s="51">
        <v>72</v>
      </c>
      <c r="C740" s="73" t="s">
        <v>42</v>
      </c>
      <c r="D740" s="67">
        <v>16596</v>
      </c>
      <c r="E740" s="73" t="s">
        <v>954</v>
      </c>
      <c r="F740" s="72" t="s">
        <v>928</v>
      </c>
      <c r="G740" s="169">
        <v>44363</v>
      </c>
      <c r="H740" s="55" t="str">
        <f t="shared" si="895"/>
        <v>3 AÑOS</v>
      </c>
      <c r="I740" s="57">
        <v>7822.9623119463167</v>
      </c>
      <c r="J740" s="57"/>
      <c r="K740" s="57"/>
      <c r="L740" s="74"/>
      <c r="M740" s="171">
        <v>4.0000000000000002E-4</v>
      </c>
      <c r="N740" s="81">
        <f t="shared" si="901"/>
        <v>312.91849247785268</v>
      </c>
      <c r="O740" s="57">
        <f t="shared" si="902"/>
        <v>8135.8808044241696</v>
      </c>
      <c r="P740" s="81">
        <f t="shared" si="880"/>
        <v>16271.761608848339</v>
      </c>
      <c r="Q740" s="81">
        <f t="shared" si="881"/>
        <v>12203.821206636254</v>
      </c>
      <c r="R740" s="81">
        <f t="shared" si="882"/>
        <v>4067.9404022120848</v>
      </c>
      <c r="S740" s="81">
        <f t="shared" si="883"/>
        <v>542.39205362827795</v>
      </c>
      <c r="T740" s="57">
        <f t="shared" si="884"/>
        <v>622.61183835990016</v>
      </c>
      <c r="U740" s="81">
        <f t="shared" si="885"/>
        <v>6101.910603318127</v>
      </c>
      <c r="V740" s="57">
        <f t="shared" si="886"/>
        <v>2033.9702011060424</v>
      </c>
      <c r="W740" s="101">
        <v>0</v>
      </c>
      <c r="X740" s="158">
        <f t="shared" si="903"/>
        <v>0</v>
      </c>
      <c r="Y740" s="81">
        <v>1077.5681930618007</v>
      </c>
      <c r="Z740" s="81">
        <v>0</v>
      </c>
      <c r="AA740" s="81">
        <f t="shared" si="904"/>
        <v>2033.9702011060424</v>
      </c>
      <c r="AB740" s="81">
        <f t="shared" si="905"/>
        <v>406.79404022120849</v>
      </c>
      <c r="AC740" s="81">
        <v>2542.6980454117233</v>
      </c>
      <c r="AD740" s="81">
        <v>1631.8967589332165</v>
      </c>
      <c r="AE740" s="81">
        <v>965.04834945784535</v>
      </c>
      <c r="AF740" s="81">
        <v>0</v>
      </c>
      <c r="AG740" s="81">
        <f t="shared" si="906"/>
        <v>561.3757755052676</v>
      </c>
      <c r="AH740" s="64"/>
      <c r="AI740" s="64"/>
      <c r="AJ740" s="51">
        <v>72</v>
      </c>
      <c r="AK740" s="73" t="s">
        <v>42</v>
      </c>
      <c r="AL740" s="67">
        <v>16596</v>
      </c>
      <c r="AM740" s="73" t="s">
        <v>954</v>
      </c>
      <c r="AN740" s="72" t="s">
        <v>928</v>
      </c>
      <c r="AO740" s="65">
        <f t="shared" ref="AO740:AP742" si="911">Q740*12</f>
        <v>146445.85447963505</v>
      </c>
      <c r="AP740" s="65">
        <f t="shared" si="911"/>
        <v>48815.284826545016</v>
      </c>
      <c r="AQ740" s="65">
        <f t="shared" ref="AQ740:AZ742" si="912">X740*12</f>
        <v>0</v>
      </c>
      <c r="AR740" s="65">
        <f t="shared" si="912"/>
        <v>12930.818316741608</v>
      </c>
      <c r="AS740" s="65">
        <f t="shared" si="912"/>
        <v>0</v>
      </c>
      <c r="AT740" s="65">
        <f t="shared" si="912"/>
        <v>24407.642413272508</v>
      </c>
      <c r="AU740" s="65">
        <f t="shared" si="912"/>
        <v>4881.5284826545021</v>
      </c>
      <c r="AV740" s="65">
        <f t="shared" si="912"/>
        <v>30512.376544940678</v>
      </c>
      <c r="AW740" s="65">
        <f t="shared" si="912"/>
        <v>19582.761107198596</v>
      </c>
      <c r="AX740" s="65">
        <f t="shared" si="912"/>
        <v>11580.580193494145</v>
      </c>
      <c r="AY740" s="65">
        <f t="shared" si="912"/>
        <v>0</v>
      </c>
      <c r="AZ740" s="65">
        <f t="shared" si="912"/>
        <v>6736.5093060632116</v>
      </c>
      <c r="BB740" s="64"/>
      <c r="BC740" s="66"/>
      <c r="BD740" s="66"/>
      <c r="BE740" s="66"/>
    </row>
    <row r="741" spans="2:57" ht="21" customHeight="1" x14ac:dyDescent="0.2">
      <c r="B741" s="51">
        <v>73</v>
      </c>
      <c r="C741" s="73" t="s">
        <v>42</v>
      </c>
      <c r="D741" s="67">
        <v>16426</v>
      </c>
      <c r="E741" s="72" t="s">
        <v>955</v>
      </c>
      <c r="F741" s="72" t="s">
        <v>928</v>
      </c>
      <c r="G741" s="169">
        <v>42217</v>
      </c>
      <c r="H741" s="55" t="str">
        <f t="shared" si="895"/>
        <v>9 AÑOS</v>
      </c>
      <c r="I741" s="57">
        <v>7822.9623119463167</v>
      </c>
      <c r="J741" s="57"/>
      <c r="K741" s="57"/>
      <c r="L741" s="74"/>
      <c r="M741" s="171">
        <v>4.0000000000000002E-4</v>
      </c>
      <c r="N741" s="81">
        <f t="shared" si="901"/>
        <v>312.91849247785268</v>
      </c>
      <c r="O741" s="57">
        <f t="shared" si="902"/>
        <v>8135.8808044241696</v>
      </c>
      <c r="P741" s="81">
        <f t="shared" si="880"/>
        <v>16271.761608848339</v>
      </c>
      <c r="Q741" s="81">
        <f t="shared" si="881"/>
        <v>12203.821206636254</v>
      </c>
      <c r="R741" s="81">
        <f t="shared" si="882"/>
        <v>4067.9404022120848</v>
      </c>
      <c r="S741" s="81">
        <f t="shared" si="883"/>
        <v>542.39205362827795</v>
      </c>
      <c r="T741" s="57">
        <f t="shared" si="884"/>
        <v>622.61183835990016</v>
      </c>
      <c r="U741" s="81">
        <f t="shared" si="885"/>
        <v>6101.910603318127</v>
      </c>
      <c r="V741" s="57">
        <f t="shared" si="886"/>
        <v>2033.9702011060424</v>
      </c>
      <c r="W741" s="101">
        <v>0</v>
      </c>
      <c r="X741" s="158">
        <f t="shared" si="903"/>
        <v>0</v>
      </c>
      <c r="Y741" s="81">
        <v>1077.5681930618007</v>
      </c>
      <c r="Z741" s="81">
        <v>0</v>
      </c>
      <c r="AA741" s="81">
        <f t="shared" si="904"/>
        <v>2033.9702011060424</v>
      </c>
      <c r="AB741" s="81">
        <f t="shared" si="905"/>
        <v>406.79404022120849</v>
      </c>
      <c r="AC741" s="81">
        <v>2542.6980454117233</v>
      </c>
      <c r="AD741" s="81">
        <v>1631.8967589332165</v>
      </c>
      <c r="AE741" s="81">
        <v>965.04834945784535</v>
      </c>
      <c r="AF741" s="81">
        <v>0</v>
      </c>
      <c r="AG741" s="81">
        <f t="shared" si="906"/>
        <v>561.3757755052676</v>
      </c>
      <c r="AH741" s="64"/>
      <c r="AI741" s="64"/>
      <c r="AJ741" s="51">
        <v>73</v>
      </c>
      <c r="AK741" s="73" t="s">
        <v>42</v>
      </c>
      <c r="AL741" s="67">
        <v>16426</v>
      </c>
      <c r="AM741" s="72" t="s">
        <v>955</v>
      </c>
      <c r="AN741" s="72" t="s">
        <v>928</v>
      </c>
      <c r="AO741" s="65">
        <f t="shared" si="911"/>
        <v>146445.85447963505</v>
      </c>
      <c r="AP741" s="65">
        <f t="shared" si="911"/>
        <v>48815.284826545016</v>
      </c>
      <c r="AQ741" s="65">
        <f t="shared" si="912"/>
        <v>0</v>
      </c>
      <c r="AR741" s="65">
        <f t="shared" si="912"/>
        <v>12930.818316741608</v>
      </c>
      <c r="AS741" s="65">
        <f t="shared" si="912"/>
        <v>0</v>
      </c>
      <c r="AT741" s="65">
        <f t="shared" si="912"/>
        <v>24407.642413272508</v>
      </c>
      <c r="AU741" s="65">
        <f t="shared" si="912"/>
        <v>4881.5284826545021</v>
      </c>
      <c r="AV741" s="65">
        <f t="shared" si="912"/>
        <v>30512.376544940678</v>
      </c>
      <c r="AW741" s="65">
        <f t="shared" si="912"/>
        <v>19582.761107198596</v>
      </c>
      <c r="AX741" s="65">
        <f t="shared" si="912"/>
        <v>11580.580193494145</v>
      </c>
      <c r="AY741" s="65">
        <f t="shared" si="912"/>
        <v>0</v>
      </c>
      <c r="AZ741" s="65">
        <f t="shared" si="912"/>
        <v>6736.5093060632116</v>
      </c>
      <c r="BB741" s="64"/>
      <c r="BC741" s="66"/>
      <c r="BD741" s="66"/>
      <c r="BE741" s="66"/>
    </row>
    <row r="742" spans="2:57" ht="21" customHeight="1" x14ac:dyDescent="0.2">
      <c r="B742" s="51">
        <v>74</v>
      </c>
      <c r="C742" s="73" t="s">
        <v>42</v>
      </c>
      <c r="D742" s="67">
        <v>16615</v>
      </c>
      <c r="E742" s="72" t="s">
        <v>956</v>
      </c>
      <c r="F742" s="72" t="s">
        <v>951</v>
      </c>
      <c r="G742" s="169">
        <v>44852</v>
      </c>
      <c r="H742" s="55" t="str">
        <f t="shared" si="895"/>
        <v>2 AÑOS</v>
      </c>
      <c r="I742" s="57">
        <v>7822.9623119463167</v>
      </c>
      <c r="J742" s="57"/>
      <c r="K742" s="57"/>
      <c r="L742" s="74"/>
      <c r="M742" s="171">
        <v>4.0000000000000002E-4</v>
      </c>
      <c r="N742" s="81">
        <f t="shared" si="901"/>
        <v>312.91849247785268</v>
      </c>
      <c r="O742" s="57">
        <f t="shared" si="902"/>
        <v>8135.8808044241696</v>
      </c>
      <c r="P742" s="81">
        <f t="shared" si="880"/>
        <v>16271.761608848339</v>
      </c>
      <c r="Q742" s="81">
        <f t="shared" si="881"/>
        <v>12203.821206636254</v>
      </c>
      <c r="R742" s="81">
        <f t="shared" si="882"/>
        <v>4067.9404022120848</v>
      </c>
      <c r="S742" s="81">
        <f t="shared" si="883"/>
        <v>542.39205362827795</v>
      </c>
      <c r="T742" s="57">
        <f t="shared" si="884"/>
        <v>622.61183835990016</v>
      </c>
      <c r="U742" s="81">
        <f t="shared" si="885"/>
        <v>6101.910603318127</v>
      </c>
      <c r="V742" s="57">
        <f t="shared" si="886"/>
        <v>2033.9702011060424</v>
      </c>
      <c r="W742" s="101">
        <v>0</v>
      </c>
      <c r="X742" s="158">
        <f t="shared" si="903"/>
        <v>0</v>
      </c>
      <c r="Y742" s="81">
        <v>1077.5681930618007</v>
      </c>
      <c r="Z742" s="81">
        <v>0</v>
      </c>
      <c r="AA742" s="81">
        <f t="shared" si="904"/>
        <v>2033.9702011060424</v>
      </c>
      <c r="AB742" s="81">
        <f t="shared" si="905"/>
        <v>406.79404022120849</v>
      </c>
      <c r="AC742" s="81">
        <v>2542.6980454117233</v>
      </c>
      <c r="AD742" s="81">
        <v>1631.8967589332165</v>
      </c>
      <c r="AE742" s="81">
        <v>965.04834945784535</v>
      </c>
      <c r="AF742" s="81">
        <v>0</v>
      </c>
      <c r="AG742" s="81">
        <f t="shared" si="906"/>
        <v>561.3757755052676</v>
      </c>
      <c r="AH742" s="64"/>
      <c r="AI742" s="64"/>
      <c r="AJ742" s="51">
        <v>74</v>
      </c>
      <c r="AK742" s="73" t="s">
        <v>42</v>
      </c>
      <c r="AL742" s="67">
        <v>16615</v>
      </c>
      <c r="AM742" s="72" t="s">
        <v>956</v>
      </c>
      <c r="AN742" s="72" t="s">
        <v>951</v>
      </c>
      <c r="AO742" s="65">
        <f t="shared" si="911"/>
        <v>146445.85447963505</v>
      </c>
      <c r="AP742" s="65">
        <f t="shared" si="911"/>
        <v>48815.284826545016</v>
      </c>
      <c r="AQ742" s="65">
        <f t="shared" si="912"/>
        <v>0</v>
      </c>
      <c r="AR742" s="65">
        <f t="shared" si="912"/>
        <v>12930.818316741608</v>
      </c>
      <c r="AS742" s="65">
        <f t="shared" si="912"/>
        <v>0</v>
      </c>
      <c r="AT742" s="65">
        <f t="shared" si="912"/>
        <v>24407.642413272508</v>
      </c>
      <c r="AU742" s="65">
        <f t="shared" si="912"/>
        <v>4881.5284826545021</v>
      </c>
      <c r="AV742" s="65">
        <f t="shared" si="912"/>
        <v>30512.376544940678</v>
      </c>
      <c r="AW742" s="65">
        <f t="shared" si="912"/>
        <v>19582.761107198596</v>
      </c>
      <c r="AX742" s="65">
        <f t="shared" si="912"/>
        <v>11580.580193494145</v>
      </c>
      <c r="AY742" s="65">
        <f t="shared" si="912"/>
        <v>0</v>
      </c>
      <c r="AZ742" s="65">
        <f t="shared" si="912"/>
        <v>6736.5093060632116</v>
      </c>
      <c r="BB742" s="64"/>
      <c r="BC742" s="66"/>
      <c r="BD742" s="66"/>
      <c r="BE742" s="66"/>
    </row>
    <row r="743" spans="2:57" ht="21" customHeight="1" x14ac:dyDescent="0.2">
      <c r="B743" s="51">
        <v>75</v>
      </c>
      <c r="C743" s="73" t="s">
        <v>42</v>
      </c>
      <c r="D743" s="67">
        <v>16637</v>
      </c>
      <c r="E743" s="206" t="s">
        <v>957</v>
      </c>
      <c r="F743" s="72" t="s">
        <v>928</v>
      </c>
      <c r="G743" s="169">
        <v>45323</v>
      </c>
      <c r="H743" s="55" t="str">
        <f t="shared" si="895"/>
        <v>0 AÑOS</v>
      </c>
      <c r="I743" s="57">
        <v>7822.9623119463167</v>
      </c>
      <c r="J743" s="57"/>
      <c r="K743" s="57"/>
      <c r="L743" s="74"/>
      <c r="M743" s="171">
        <v>4.0000000000000002E-4</v>
      </c>
      <c r="N743" s="81">
        <f t="shared" si="901"/>
        <v>312.91849247785268</v>
      </c>
      <c r="O743" s="57">
        <f t="shared" si="902"/>
        <v>8135.8808044241696</v>
      </c>
      <c r="P743" s="81">
        <f t="shared" si="880"/>
        <v>16271.761608848339</v>
      </c>
      <c r="Q743" s="81">
        <f t="shared" si="881"/>
        <v>12203.821206636254</v>
      </c>
      <c r="R743" s="81">
        <f t="shared" si="882"/>
        <v>4067.9404022120848</v>
      </c>
      <c r="S743" s="81">
        <f t="shared" si="883"/>
        <v>542.39205362827795</v>
      </c>
      <c r="T743" s="57">
        <f t="shared" si="884"/>
        <v>622.61183835990016</v>
      </c>
      <c r="U743" s="81">
        <f t="shared" si="885"/>
        <v>6101.910603318127</v>
      </c>
      <c r="V743" s="57">
        <f t="shared" si="886"/>
        <v>2033.9702011060424</v>
      </c>
      <c r="W743" s="101">
        <v>0</v>
      </c>
      <c r="X743" s="158">
        <f t="shared" si="903"/>
        <v>0</v>
      </c>
      <c r="Y743" s="81">
        <v>1077.5681930618007</v>
      </c>
      <c r="Z743" s="81">
        <v>0</v>
      </c>
      <c r="AA743" s="81">
        <f t="shared" si="904"/>
        <v>2033.9702011060424</v>
      </c>
      <c r="AB743" s="81">
        <f t="shared" si="905"/>
        <v>406.79404022120849</v>
      </c>
      <c r="AC743" s="81">
        <v>2542.6980454117233</v>
      </c>
      <c r="AD743" s="81">
        <v>1631.8967589332165</v>
      </c>
      <c r="AE743" s="81">
        <v>965.04834945784535</v>
      </c>
      <c r="AF743" s="81">
        <v>0</v>
      </c>
      <c r="AG743" s="81">
        <f t="shared" si="906"/>
        <v>561.3757755052676</v>
      </c>
      <c r="AH743" s="64"/>
      <c r="AI743" s="64"/>
      <c r="AJ743" s="51">
        <v>75</v>
      </c>
      <c r="AK743" s="73" t="s">
        <v>42</v>
      </c>
      <c r="AL743" s="67">
        <v>16637</v>
      </c>
      <c r="AM743" s="206" t="s">
        <v>957</v>
      </c>
      <c r="AN743" s="72" t="s">
        <v>928</v>
      </c>
      <c r="AO743" s="65">
        <f>Q743*11</f>
        <v>134242.03327299879</v>
      </c>
      <c r="AP743" s="65">
        <f>R743*11</f>
        <v>44747.344424332936</v>
      </c>
      <c r="AQ743" s="65">
        <f t="shared" ref="AQ743:AZ743" si="913">X743*11</f>
        <v>0</v>
      </c>
      <c r="AR743" s="65">
        <f t="shared" si="913"/>
        <v>11853.250123679807</v>
      </c>
      <c r="AS743" s="65">
        <f t="shared" si="913"/>
        <v>0</v>
      </c>
      <c r="AT743" s="65">
        <f t="shared" si="913"/>
        <v>22373.672212166468</v>
      </c>
      <c r="AU743" s="65">
        <f t="shared" si="913"/>
        <v>4474.7344424332932</v>
      </c>
      <c r="AV743" s="65">
        <f t="shared" si="913"/>
        <v>27969.678499528956</v>
      </c>
      <c r="AW743" s="65">
        <f t="shared" si="913"/>
        <v>17950.864348265382</v>
      </c>
      <c r="AX743" s="65">
        <f t="shared" si="913"/>
        <v>10615.531844036299</v>
      </c>
      <c r="AY743" s="65">
        <f t="shared" si="913"/>
        <v>0</v>
      </c>
      <c r="AZ743" s="65">
        <f t="shared" si="913"/>
        <v>6175.1335305579432</v>
      </c>
      <c r="BB743" s="64"/>
      <c r="BC743" s="66"/>
      <c r="BD743" s="66"/>
      <c r="BE743" s="66"/>
    </row>
    <row r="744" spans="2:57" ht="21" customHeight="1" x14ac:dyDescent="0.2">
      <c r="B744" s="51">
        <v>76</v>
      </c>
      <c r="C744" s="73" t="s">
        <v>42</v>
      </c>
      <c r="D744" s="67">
        <v>16337</v>
      </c>
      <c r="E744" s="72" t="s">
        <v>958</v>
      </c>
      <c r="F744" s="72" t="s">
        <v>928</v>
      </c>
      <c r="G744" s="55">
        <v>41471</v>
      </c>
      <c r="H744" s="55" t="str">
        <f t="shared" si="895"/>
        <v>11 AÑOS</v>
      </c>
      <c r="I744" s="57">
        <v>7822.9623119463167</v>
      </c>
      <c r="J744" s="57"/>
      <c r="K744" s="57"/>
      <c r="L744" s="74"/>
      <c r="M744" s="171">
        <v>4.0000000000000002E-4</v>
      </c>
      <c r="N744" s="81">
        <f t="shared" si="901"/>
        <v>312.91849247785268</v>
      </c>
      <c r="O744" s="57">
        <f t="shared" si="902"/>
        <v>8135.8808044241696</v>
      </c>
      <c r="P744" s="81">
        <f t="shared" si="880"/>
        <v>16271.761608848339</v>
      </c>
      <c r="Q744" s="81">
        <f t="shared" si="881"/>
        <v>12203.821206636254</v>
      </c>
      <c r="R744" s="81">
        <f t="shared" si="882"/>
        <v>4067.9404022120848</v>
      </c>
      <c r="S744" s="81">
        <f t="shared" si="883"/>
        <v>542.39205362827795</v>
      </c>
      <c r="T744" s="57">
        <f t="shared" si="884"/>
        <v>622.61183835990016</v>
      </c>
      <c r="U744" s="81">
        <f t="shared" si="885"/>
        <v>6101.910603318127</v>
      </c>
      <c r="V744" s="57">
        <f t="shared" si="886"/>
        <v>2033.9702011060424</v>
      </c>
      <c r="W744" s="101">
        <v>0</v>
      </c>
      <c r="X744" s="158">
        <f t="shared" si="903"/>
        <v>0</v>
      </c>
      <c r="Y744" s="81">
        <v>1077.5681930618007</v>
      </c>
      <c r="Z744" s="81">
        <v>0</v>
      </c>
      <c r="AA744" s="81">
        <f t="shared" si="904"/>
        <v>2033.9702011060424</v>
      </c>
      <c r="AB744" s="81">
        <f t="shared" si="905"/>
        <v>406.79404022120849</v>
      </c>
      <c r="AC744" s="81">
        <v>2542.6980454117233</v>
      </c>
      <c r="AD744" s="81">
        <v>1631.8967589332165</v>
      </c>
      <c r="AE744" s="81">
        <v>965.04834945784535</v>
      </c>
      <c r="AF744" s="81">
        <v>0</v>
      </c>
      <c r="AG744" s="81">
        <f t="shared" si="906"/>
        <v>561.3757755052676</v>
      </c>
      <c r="AH744" s="64"/>
      <c r="AI744" s="64"/>
      <c r="AJ744" s="51">
        <v>76</v>
      </c>
      <c r="AK744" s="73" t="s">
        <v>42</v>
      </c>
      <c r="AL744" s="67">
        <v>16337</v>
      </c>
      <c r="AM744" s="72" t="s">
        <v>958</v>
      </c>
      <c r="AN744" s="72" t="s">
        <v>928</v>
      </c>
      <c r="AO744" s="65">
        <f t="shared" ref="AO744:AO753" si="914">Q744*12</f>
        <v>146445.85447963505</v>
      </c>
      <c r="AP744" s="65">
        <f t="shared" ref="AP744:AP753" si="915">R744*12</f>
        <v>48815.284826545016</v>
      </c>
      <c r="AQ744" s="65">
        <f t="shared" ref="AQ744:AQ753" si="916">X744*12</f>
        <v>0</v>
      </c>
      <c r="AR744" s="65">
        <f t="shared" ref="AR744:AR753" si="917">Y744*12</f>
        <v>12930.818316741608</v>
      </c>
      <c r="AS744" s="65">
        <f t="shared" ref="AS744:AS753" si="918">Z744*12</f>
        <v>0</v>
      </c>
      <c r="AT744" s="65">
        <f t="shared" ref="AT744:AT753" si="919">AA744*12</f>
        <v>24407.642413272508</v>
      </c>
      <c r="AU744" s="65">
        <f t="shared" ref="AU744:AU753" si="920">AB744*12</f>
        <v>4881.5284826545021</v>
      </c>
      <c r="AV744" s="65">
        <f t="shared" ref="AV744:AV753" si="921">AC744*12</f>
        <v>30512.376544940678</v>
      </c>
      <c r="AW744" s="65">
        <f t="shared" ref="AW744:AW753" si="922">AD744*12</f>
        <v>19582.761107198596</v>
      </c>
      <c r="AX744" s="65">
        <f t="shared" ref="AX744:AX753" si="923">AE744*12</f>
        <v>11580.580193494145</v>
      </c>
      <c r="AY744" s="65">
        <f t="shared" ref="AY744:AY753" si="924">AF744*12</f>
        <v>0</v>
      </c>
      <c r="AZ744" s="65">
        <f t="shared" ref="AZ744:AZ753" si="925">AG744*12</f>
        <v>6736.5093060632116</v>
      </c>
      <c r="BB744" s="64"/>
      <c r="BC744" s="66"/>
      <c r="BD744" s="66"/>
      <c r="BE744" s="66"/>
    </row>
    <row r="745" spans="2:57" ht="21" customHeight="1" x14ac:dyDescent="0.2">
      <c r="B745" s="51">
        <v>77</v>
      </c>
      <c r="C745" s="73" t="s">
        <v>42</v>
      </c>
      <c r="D745" s="67">
        <v>16441</v>
      </c>
      <c r="E745" s="73" t="s">
        <v>959</v>
      </c>
      <c r="F745" s="72" t="s">
        <v>928</v>
      </c>
      <c r="G745" s="169">
        <v>44875</v>
      </c>
      <c r="H745" s="55" t="str">
        <f t="shared" si="895"/>
        <v>2 AÑOS</v>
      </c>
      <c r="I745" s="57">
        <v>7822.9623119463167</v>
      </c>
      <c r="J745" s="57"/>
      <c r="K745" s="57"/>
      <c r="L745" s="74"/>
      <c r="M745" s="171">
        <v>4.0000000000000002E-4</v>
      </c>
      <c r="N745" s="81">
        <f t="shared" si="901"/>
        <v>312.91849247785268</v>
      </c>
      <c r="O745" s="57">
        <f t="shared" si="902"/>
        <v>8135.8808044241696</v>
      </c>
      <c r="P745" s="81">
        <f t="shared" si="880"/>
        <v>16271.761608848339</v>
      </c>
      <c r="Q745" s="81">
        <f t="shared" si="881"/>
        <v>12203.821206636254</v>
      </c>
      <c r="R745" s="81">
        <f t="shared" si="882"/>
        <v>4067.9404022120848</v>
      </c>
      <c r="S745" s="81">
        <f t="shared" si="883"/>
        <v>542.39205362827795</v>
      </c>
      <c r="T745" s="57">
        <f t="shared" si="884"/>
        <v>622.61183835990016</v>
      </c>
      <c r="U745" s="81">
        <f t="shared" si="885"/>
        <v>6101.910603318127</v>
      </c>
      <c r="V745" s="57">
        <f t="shared" si="886"/>
        <v>2033.9702011060424</v>
      </c>
      <c r="W745" s="101">
        <v>0</v>
      </c>
      <c r="X745" s="158">
        <f t="shared" si="903"/>
        <v>0</v>
      </c>
      <c r="Y745" s="81">
        <v>1077.5681930618007</v>
      </c>
      <c r="Z745" s="81">
        <v>0</v>
      </c>
      <c r="AA745" s="81">
        <f t="shared" si="904"/>
        <v>2033.9702011060424</v>
      </c>
      <c r="AB745" s="81">
        <f t="shared" si="905"/>
        <v>406.79404022120849</v>
      </c>
      <c r="AC745" s="81">
        <v>2542.6980454117233</v>
      </c>
      <c r="AD745" s="81">
        <v>1631.8967589332165</v>
      </c>
      <c r="AE745" s="81">
        <v>965.04834945784535</v>
      </c>
      <c r="AF745" s="81">
        <v>0</v>
      </c>
      <c r="AG745" s="81">
        <f t="shared" si="906"/>
        <v>561.3757755052676</v>
      </c>
      <c r="AH745" s="64"/>
      <c r="AI745" s="64"/>
      <c r="AJ745" s="51">
        <v>77</v>
      </c>
      <c r="AK745" s="73" t="s">
        <v>42</v>
      </c>
      <c r="AL745" s="67">
        <v>16441</v>
      </c>
      <c r="AM745" s="73" t="s">
        <v>959</v>
      </c>
      <c r="AN745" s="72" t="s">
        <v>928</v>
      </c>
      <c r="AO745" s="65">
        <f t="shared" si="914"/>
        <v>146445.85447963505</v>
      </c>
      <c r="AP745" s="65">
        <f t="shared" si="915"/>
        <v>48815.284826545016</v>
      </c>
      <c r="AQ745" s="65">
        <f t="shared" si="916"/>
        <v>0</v>
      </c>
      <c r="AR745" s="65">
        <f t="shared" si="917"/>
        <v>12930.818316741608</v>
      </c>
      <c r="AS745" s="65">
        <f t="shared" si="918"/>
        <v>0</v>
      </c>
      <c r="AT745" s="65">
        <f t="shared" si="919"/>
        <v>24407.642413272508</v>
      </c>
      <c r="AU745" s="65">
        <f t="shared" si="920"/>
        <v>4881.5284826545021</v>
      </c>
      <c r="AV745" s="65">
        <f t="shared" si="921"/>
        <v>30512.376544940678</v>
      </c>
      <c r="AW745" s="65">
        <f t="shared" si="922"/>
        <v>19582.761107198596</v>
      </c>
      <c r="AX745" s="65">
        <f t="shared" si="923"/>
        <v>11580.580193494145</v>
      </c>
      <c r="AY745" s="65">
        <f t="shared" si="924"/>
        <v>0</v>
      </c>
      <c r="AZ745" s="65">
        <f t="shared" si="925"/>
        <v>6736.5093060632116</v>
      </c>
      <c r="BB745" s="64"/>
      <c r="BC745" s="66"/>
      <c r="BD745" s="66"/>
      <c r="BE745" s="66"/>
    </row>
    <row r="746" spans="2:57" ht="21" customHeight="1" x14ac:dyDescent="0.2">
      <c r="B746" s="51">
        <v>78</v>
      </c>
      <c r="C746" s="73" t="s">
        <v>42</v>
      </c>
      <c r="D746" s="67">
        <v>16383</v>
      </c>
      <c r="E746" s="72" t="s">
        <v>960</v>
      </c>
      <c r="F746" s="72" t="s">
        <v>951</v>
      </c>
      <c r="G746" s="55">
        <v>41806</v>
      </c>
      <c r="H746" s="56" t="str">
        <f t="shared" si="895"/>
        <v>10 AÑOS</v>
      </c>
      <c r="I746" s="57">
        <v>7822.9623119463167</v>
      </c>
      <c r="J746" s="58"/>
      <c r="K746" s="58"/>
      <c r="L746" s="59"/>
      <c r="M746" s="60">
        <v>4.0000000000000002E-4</v>
      </c>
      <c r="N746" s="61">
        <f t="shared" si="901"/>
        <v>312.91849247785268</v>
      </c>
      <c r="O746" s="58">
        <f t="shared" si="902"/>
        <v>8135.8808044241696</v>
      </c>
      <c r="P746" s="61">
        <f t="shared" si="880"/>
        <v>16271.761608848339</v>
      </c>
      <c r="Q746" s="61">
        <f t="shared" si="881"/>
        <v>12203.821206636254</v>
      </c>
      <c r="R746" s="61">
        <f t="shared" si="882"/>
        <v>4067.9404022120848</v>
      </c>
      <c r="S746" s="61">
        <f t="shared" si="883"/>
        <v>542.39205362827795</v>
      </c>
      <c r="T746" s="58">
        <f t="shared" si="884"/>
        <v>622.61183835990016</v>
      </c>
      <c r="U746" s="61">
        <f t="shared" si="885"/>
        <v>6101.910603318127</v>
      </c>
      <c r="V746" s="58">
        <f t="shared" si="886"/>
        <v>2033.9702011060424</v>
      </c>
      <c r="W746" s="62">
        <v>0</v>
      </c>
      <c r="X746" s="63">
        <f t="shared" si="903"/>
        <v>0</v>
      </c>
      <c r="Y746" s="61">
        <v>1077.5681930618007</v>
      </c>
      <c r="Z746" s="61">
        <v>0</v>
      </c>
      <c r="AA746" s="61">
        <f t="shared" si="904"/>
        <v>2033.9702011060424</v>
      </c>
      <c r="AB746" s="61">
        <f t="shared" si="905"/>
        <v>406.79404022120849</v>
      </c>
      <c r="AC746" s="61">
        <v>2542.6980454117233</v>
      </c>
      <c r="AD746" s="61">
        <v>1631.8967589332165</v>
      </c>
      <c r="AE746" s="61">
        <v>965.04834945784535</v>
      </c>
      <c r="AF746" s="61">
        <v>0</v>
      </c>
      <c r="AG746" s="61">
        <f t="shared" si="906"/>
        <v>561.3757755052676</v>
      </c>
      <c r="AH746" s="64"/>
      <c r="AI746" s="64"/>
      <c r="AJ746" s="51">
        <v>78</v>
      </c>
      <c r="AK746" s="73" t="s">
        <v>42</v>
      </c>
      <c r="AL746" s="67">
        <v>16383</v>
      </c>
      <c r="AM746" s="72" t="s">
        <v>960</v>
      </c>
      <c r="AN746" s="72" t="s">
        <v>951</v>
      </c>
      <c r="AO746" s="65">
        <f t="shared" si="914"/>
        <v>146445.85447963505</v>
      </c>
      <c r="AP746" s="65">
        <f t="shared" si="915"/>
        <v>48815.284826545016</v>
      </c>
      <c r="AQ746" s="65">
        <f t="shared" si="916"/>
        <v>0</v>
      </c>
      <c r="AR746" s="65">
        <f t="shared" si="917"/>
        <v>12930.818316741608</v>
      </c>
      <c r="AS746" s="65">
        <f t="shared" si="918"/>
        <v>0</v>
      </c>
      <c r="AT746" s="65">
        <f t="shared" si="919"/>
        <v>24407.642413272508</v>
      </c>
      <c r="AU746" s="65">
        <f t="shared" si="920"/>
        <v>4881.5284826545021</v>
      </c>
      <c r="AV746" s="65">
        <f t="shared" si="921"/>
        <v>30512.376544940678</v>
      </c>
      <c r="AW746" s="65">
        <f t="shared" si="922"/>
        <v>19582.761107198596</v>
      </c>
      <c r="AX746" s="65">
        <f t="shared" si="923"/>
        <v>11580.580193494145</v>
      </c>
      <c r="AY746" s="65">
        <f t="shared" si="924"/>
        <v>0</v>
      </c>
      <c r="AZ746" s="65">
        <f t="shared" si="925"/>
        <v>6736.5093060632116</v>
      </c>
      <c r="BB746" s="64"/>
      <c r="BC746" s="66"/>
      <c r="BD746" s="66"/>
      <c r="BE746" s="66"/>
    </row>
    <row r="747" spans="2:57" ht="21" customHeight="1" x14ac:dyDescent="0.2">
      <c r="B747" s="51">
        <v>79</v>
      </c>
      <c r="C747" s="73" t="s">
        <v>42</v>
      </c>
      <c r="D747" s="67">
        <v>19011</v>
      </c>
      <c r="E747" s="72" t="s">
        <v>961</v>
      </c>
      <c r="F747" s="72" t="s">
        <v>928</v>
      </c>
      <c r="G747" s="169">
        <v>39423</v>
      </c>
      <c r="H747" s="56" t="str">
        <f t="shared" si="895"/>
        <v>17 AÑOS</v>
      </c>
      <c r="I747" s="57">
        <v>7822.9623119463167</v>
      </c>
      <c r="J747" s="58"/>
      <c r="K747" s="58"/>
      <c r="L747" s="59"/>
      <c r="M747" s="60">
        <v>4.0000000000000002E-4</v>
      </c>
      <c r="N747" s="61">
        <f t="shared" si="901"/>
        <v>312.91849247785268</v>
      </c>
      <c r="O747" s="58">
        <f t="shared" si="902"/>
        <v>8135.8808044241696</v>
      </c>
      <c r="P747" s="61">
        <f t="shared" si="880"/>
        <v>16271.761608848339</v>
      </c>
      <c r="Q747" s="61">
        <f t="shared" si="881"/>
        <v>12203.821206636254</v>
      </c>
      <c r="R747" s="61">
        <f t="shared" si="882"/>
        <v>4067.9404022120848</v>
      </c>
      <c r="S747" s="61">
        <f t="shared" si="883"/>
        <v>542.39205362827795</v>
      </c>
      <c r="T747" s="58">
        <f t="shared" si="884"/>
        <v>622.61183835990016</v>
      </c>
      <c r="U747" s="61">
        <f t="shared" si="885"/>
        <v>6101.910603318127</v>
      </c>
      <c r="V747" s="58">
        <f t="shared" si="886"/>
        <v>2033.9702011060424</v>
      </c>
      <c r="W747" s="62">
        <v>0</v>
      </c>
      <c r="X747" s="63">
        <f t="shared" si="903"/>
        <v>0</v>
      </c>
      <c r="Y747" s="61">
        <v>1077.5681930618007</v>
      </c>
      <c r="Z747" s="61">
        <v>0</v>
      </c>
      <c r="AA747" s="61">
        <f t="shared" si="904"/>
        <v>2033.9702011060424</v>
      </c>
      <c r="AB747" s="61">
        <f t="shared" si="905"/>
        <v>406.79404022120849</v>
      </c>
      <c r="AC747" s="61">
        <v>2542.6980454117233</v>
      </c>
      <c r="AD747" s="61">
        <v>1631.8967589332165</v>
      </c>
      <c r="AE747" s="61">
        <v>965.04834945784535</v>
      </c>
      <c r="AF747" s="61">
        <v>0</v>
      </c>
      <c r="AG747" s="61">
        <f t="shared" si="906"/>
        <v>561.3757755052676</v>
      </c>
      <c r="AH747" s="64"/>
      <c r="AI747" s="64"/>
      <c r="AJ747" s="51">
        <v>79</v>
      </c>
      <c r="AK747" s="73" t="s">
        <v>42</v>
      </c>
      <c r="AL747" s="67">
        <v>19011</v>
      </c>
      <c r="AM747" s="72" t="s">
        <v>961</v>
      </c>
      <c r="AN747" s="72" t="s">
        <v>928</v>
      </c>
      <c r="AO747" s="65">
        <f t="shared" si="914"/>
        <v>146445.85447963505</v>
      </c>
      <c r="AP747" s="65">
        <f t="shared" si="915"/>
        <v>48815.284826545016</v>
      </c>
      <c r="AQ747" s="65">
        <f t="shared" si="916"/>
        <v>0</v>
      </c>
      <c r="AR747" s="65">
        <f t="shared" si="917"/>
        <v>12930.818316741608</v>
      </c>
      <c r="AS747" s="65">
        <f t="shared" si="918"/>
        <v>0</v>
      </c>
      <c r="AT747" s="65">
        <f t="shared" si="919"/>
        <v>24407.642413272508</v>
      </c>
      <c r="AU747" s="65">
        <f t="shared" si="920"/>
        <v>4881.5284826545021</v>
      </c>
      <c r="AV747" s="65">
        <f t="shared" si="921"/>
        <v>30512.376544940678</v>
      </c>
      <c r="AW747" s="65">
        <f t="shared" si="922"/>
        <v>19582.761107198596</v>
      </c>
      <c r="AX747" s="65">
        <f t="shared" si="923"/>
        <v>11580.580193494145</v>
      </c>
      <c r="AY747" s="65">
        <f t="shared" si="924"/>
        <v>0</v>
      </c>
      <c r="AZ747" s="65">
        <f t="shared" si="925"/>
        <v>6736.5093060632116</v>
      </c>
      <c r="BB747" s="64"/>
      <c r="BC747" s="66"/>
      <c r="BD747" s="66"/>
      <c r="BE747" s="66"/>
    </row>
    <row r="748" spans="2:57" ht="21" customHeight="1" x14ac:dyDescent="0.2">
      <c r="B748" s="51">
        <v>80</v>
      </c>
      <c r="C748" s="73" t="s">
        <v>42</v>
      </c>
      <c r="D748" s="67">
        <v>16527</v>
      </c>
      <c r="E748" s="73" t="s">
        <v>962</v>
      </c>
      <c r="F748" s="72" t="s">
        <v>928</v>
      </c>
      <c r="G748" s="169">
        <v>43664</v>
      </c>
      <c r="H748" s="56" t="str">
        <f t="shared" si="895"/>
        <v>5 AÑOS</v>
      </c>
      <c r="I748" s="57">
        <v>7822.9623119463167</v>
      </c>
      <c r="J748" s="58"/>
      <c r="K748" s="58"/>
      <c r="L748" s="59"/>
      <c r="M748" s="60">
        <v>4.0000000000000002E-4</v>
      </c>
      <c r="N748" s="61">
        <f t="shared" si="901"/>
        <v>312.91849247785268</v>
      </c>
      <c r="O748" s="58">
        <f t="shared" si="902"/>
        <v>8135.8808044241696</v>
      </c>
      <c r="P748" s="61">
        <f t="shared" si="880"/>
        <v>16271.761608848339</v>
      </c>
      <c r="Q748" s="61">
        <f t="shared" si="881"/>
        <v>12203.821206636254</v>
      </c>
      <c r="R748" s="61">
        <f t="shared" si="882"/>
        <v>4067.9404022120848</v>
      </c>
      <c r="S748" s="61">
        <f t="shared" si="883"/>
        <v>542.39205362827795</v>
      </c>
      <c r="T748" s="58">
        <f t="shared" si="884"/>
        <v>622.61183835990016</v>
      </c>
      <c r="U748" s="61">
        <f t="shared" si="885"/>
        <v>6101.910603318127</v>
      </c>
      <c r="V748" s="58">
        <f t="shared" si="886"/>
        <v>2033.9702011060424</v>
      </c>
      <c r="W748" s="62">
        <v>0</v>
      </c>
      <c r="X748" s="63">
        <f t="shared" si="903"/>
        <v>0</v>
      </c>
      <c r="Y748" s="61">
        <v>1077.5681930618007</v>
      </c>
      <c r="Z748" s="61">
        <v>0</v>
      </c>
      <c r="AA748" s="61">
        <f t="shared" si="904"/>
        <v>2033.9702011060424</v>
      </c>
      <c r="AB748" s="61">
        <f t="shared" si="905"/>
        <v>406.79404022120849</v>
      </c>
      <c r="AC748" s="61">
        <v>2542.6980454117233</v>
      </c>
      <c r="AD748" s="61">
        <v>1631.8967589332165</v>
      </c>
      <c r="AE748" s="61">
        <v>965.04834945784535</v>
      </c>
      <c r="AF748" s="61">
        <v>0</v>
      </c>
      <c r="AG748" s="61">
        <f t="shared" si="906"/>
        <v>561.3757755052676</v>
      </c>
      <c r="AH748" s="64"/>
      <c r="AI748" s="64"/>
      <c r="AJ748" s="51">
        <v>80</v>
      </c>
      <c r="AK748" s="73" t="s">
        <v>42</v>
      </c>
      <c r="AL748" s="67">
        <v>16527</v>
      </c>
      <c r="AM748" s="73" t="s">
        <v>962</v>
      </c>
      <c r="AN748" s="72" t="s">
        <v>928</v>
      </c>
      <c r="AO748" s="65">
        <f t="shared" si="914"/>
        <v>146445.85447963505</v>
      </c>
      <c r="AP748" s="65">
        <f t="shared" si="915"/>
        <v>48815.284826545016</v>
      </c>
      <c r="AQ748" s="65">
        <f t="shared" si="916"/>
        <v>0</v>
      </c>
      <c r="AR748" s="65">
        <f t="shared" si="917"/>
        <v>12930.818316741608</v>
      </c>
      <c r="AS748" s="65">
        <f t="shared" si="918"/>
        <v>0</v>
      </c>
      <c r="AT748" s="65">
        <f t="shared" si="919"/>
        <v>24407.642413272508</v>
      </c>
      <c r="AU748" s="65">
        <f t="shared" si="920"/>
        <v>4881.5284826545021</v>
      </c>
      <c r="AV748" s="65">
        <f t="shared" si="921"/>
        <v>30512.376544940678</v>
      </c>
      <c r="AW748" s="65">
        <f t="shared" si="922"/>
        <v>19582.761107198596</v>
      </c>
      <c r="AX748" s="65">
        <f t="shared" si="923"/>
        <v>11580.580193494145</v>
      </c>
      <c r="AY748" s="65">
        <f t="shared" si="924"/>
        <v>0</v>
      </c>
      <c r="AZ748" s="65">
        <f t="shared" si="925"/>
        <v>6736.5093060632116</v>
      </c>
      <c r="BB748" s="64"/>
      <c r="BC748" s="66"/>
      <c r="BD748" s="66"/>
      <c r="BE748" s="66"/>
    </row>
    <row r="749" spans="2:57" ht="21" customHeight="1" x14ac:dyDescent="0.2">
      <c r="B749" s="51">
        <v>81</v>
      </c>
      <c r="C749" s="73" t="s">
        <v>42</v>
      </c>
      <c r="D749" s="67">
        <v>16616</v>
      </c>
      <c r="E749" s="84" t="s">
        <v>963</v>
      </c>
      <c r="F749" s="72" t="s">
        <v>928</v>
      </c>
      <c r="G749" s="157">
        <v>44852</v>
      </c>
      <c r="H749" s="56" t="str">
        <f t="shared" si="895"/>
        <v>2 AÑOS</v>
      </c>
      <c r="I749" s="57">
        <v>7822.9623119463167</v>
      </c>
      <c r="J749" s="58"/>
      <c r="K749" s="58"/>
      <c r="L749" s="59"/>
      <c r="M749" s="60">
        <v>4.0000000000000002E-4</v>
      </c>
      <c r="N749" s="61">
        <f t="shared" si="901"/>
        <v>312.91849247785268</v>
      </c>
      <c r="O749" s="58">
        <f t="shared" si="902"/>
        <v>8135.8808044241696</v>
      </c>
      <c r="P749" s="61">
        <f t="shared" si="880"/>
        <v>16271.761608848339</v>
      </c>
      <c r="Q749" s="61">
        <f t="shared" si="881"/>
        <v>12203.821206636254</v>
      </c>
      <c r="R749" s="61">
        <f t="shared" si="882"/>
        <v>4067.9404022120848</v>
      </c>
      <c r="S749" s="61">
        <f t="shared" si="883"/>
        <v>542.39205362827795</v>
      </c>
      <c r="T749" s="58">
        <f t="shared" si="884"/>
        <v>622.61183835990016</v>
      </c>
      <c r="U749" s="61">
        <f t="shared" si="885"/>
        <v>6101.910603318127</v>
      </c>
      <c r="V749" s="58">
        <f t="shared" si="886"/>
        <v>2033.9702011060424</v>
      </c>
      <c r="W749" s="62">
        <v>0</v>
      </c>
      <c r="X749" s="63">
        <f t="shared" si="903"/>
        <v>0</v>
      </c>
      <c r="Y749" s="61">
        <v>1077.5681930618007</v>
      </c>
      <c r="Z749" s="61">
        <v>0</v>
      </c>
      <c r="AA749" s="61">
        <f t="shared" si="904"/>
        <v>2033.9702011060424</v>
      </c>
      <c r="AB749" s="61">
        <f t="shared" si="905"/>
        <v>406.79404022120849</v>
      </c>
      <c r="AC749" s="61">
        <v>2542.6980454117233</v>
      </c>
      <c r="AD749" s="61">
        <v>1631.8967589332165</v>
      </c>
      <c r="AE749" s="61">
        <v>965.04834945784535</v>
      </c>
      <c r="AF749" s="61">
        <v>0</v>
      </c>
      <c r="AG749" s="61">
        <f t="shared" si="906"/>
        <v>561.3757755052676</v>
      </c>
      <c r="AH749" s="64"/>
      <c r="AI749" s="64"/>
      <c r="AJ749" s="51">
        <v>81</v>
      </c>
      <c r="AK749" s="73" t="s">
        <v>42</v>
      </c>
      <c r="AL749" s="67">
        <v>16616</v>
      </c>
      <c r="AM749" s="84" t="s">
        <v>963</v>
      </c>
      <c r="AN749" s="72" t="s">
        <v>928</v>
      </c>
      <c r="AO749" s="65">
        <f t="shared" si="914"/>
        <v>146445.85447963505</v>
      </c>
      <c r="AP749" s="65">
        <f t="shared" si="915"/>
        <v>48815.284826545016</v>
      </c>
      <c r="AQ749" s="65">
        <f t="shared" si="916"/>
        <v>0</v>
      </c>
      <c r="AR749" s="65">
        <f t="shared" si="917"/>
        <v>12930.818316741608</v>
      </c>
      <c r="AS749" s="65">
        <f t="shared" si="918"/>
        <v>0</v>
      </c>
      <c r="AT749" s="65">
        <f t="shared" si="919"/>
        <v>24407.642413272508</v>
      </c>
      <c r="AU749" s="65">
        <f t="shared" si="920"/>
        <v>4881.5284826545021</v>
      </c>
      <c r="AV749" s="65">
        <f t="shared" si="921"/>
        <v>30512.376544940678</v>
      </c>
      <c r="AW749" s="65">
        <f t="shared" si="922"/>
        <v>19582.761107198596</v>
      </c>
      <c r="AX749" s="65">
        <f t="shared" si="923"/>
        <v>11580.580193494145</v>
      </c>
      <c r="AY749" s="65">
        <f t="shared" si="924"/>
        <v>0</v>
      </c>
      <c r="AZ749" s="65">
        <f t="shared" si="925"/>
        <v>6736.5093060632116</v>
      </c>
      <c r="BB749" s="64"/>
      <c r="BC749" s="66"/>
      <c r="BD749" s="66"/>
      <c r="BE749" s="66"/>
    </row>
    <row r="750" spans="2:57" ht="21" customHeight="1" x14ac:dyDescent="0.2">
      <c r="B750" s="51">
        <v>82</v>
      </c>
      <c r="C750" s="73" t="s">
        <v>42</v>
      </c>
      <c r="D750" s="78">
        <v>16620</v>
      </c>
      <c r="E750" s="72" t="s">
        <v>964</v>
      </c>
      <c r="F750" s="72" t="s">
        <v>928</v>
      </c>
      <c r="G750" s="169">
        <v>44875</v>
      </c>
      <c r="H750" s="56" t="str">
        <f t="shared" si="895"/>
        <v>2 AÑOS</v>
      </c>
      <c r="I750" s="57">
        <v>7822.9623119463167</v>
      </c>
      <c r="J750" s="58"/>
      <c r="K750" s="58"/>
      <c r="L750" s="59"/>
      <c r="M750" s="60">
        <v>4.0000000000000002E-4</v>
      </c>
      <c r="N750" s="61">
        <f t="shared" si="901"/>
        <v>312.91849247785268</v>
      </c>
      <c r="O750" s="58">
        <f t="shared" si="902"/>
        <v>8135.8808044241696</v>
      </c>
      <c r="P750" s="61">
        <f t="shared" si="880"/>
        <v>16271.761608848339</v>
      </c>
      <c r="Q750" s="61">
        <f t="shared" si="881"/>
        <v>12203.821206636254</v>
      </c>
      <c r="R750" s="61">
        <f t="shared" si="882"/>
        <v>4067.9404022120848</v>
      </c>
      <c r="S750" s="61">
        <f t="shared" si="883"/>
        <v>542.39205362827795</v>
      </c>
      <c r="T750" s="58">
        <f t="shared" si="884"/>
        <v>622.61183835990016</v>
      </c>
      <c r="U750" s="61">
        <f t="shared" si="885"/>
        <v>6101.910603318127</v>
      </c>
      <c r="V750" s="58">
        <f t="shared" si="886"/>
        <v>2033.9702011060424</v>
      </c>
      <c r="W750" s="62">
        <v>0</v>
      </c>
      <c r="X750" s="63">
        <f t="shared" si="903"/>
        <v>0</v>
      </c>
      <c r="Y750" s="61">
        <v>1077.5681930618007</v>
      </c>
      <c r="Z750" s="61">
        <v>0</v>
      </c>
      <c r="AA750" s="61">
        <f t="shared" si="904"/>
        <v>2033.9702011060424</v>
      </c>
      <c r="AB750" s="61">
        <f t="shared" si="905"/>
        <v>406.79404022120849</v>
      </c>
      <c r="AC750" s="61">
        <v>2542.6980454117233</v>
      </c>
      <c r="AD750" s="61">
        <v>1631.8967589332165</v>
      </c>
      <c r="AE750" s="61">
        <v>965.04834945784535</v>
      </c>
      <c r="AF750" s="61">
        <v>0</v>
      </c>
      <c r="AG750" s="61">
        <f t="shared" si="906"/>
        <v>561.3757755052676</v>
      </c>
      <c r="AH750" s="64"/>
      <c r="AI750" s="64"/>
      <c r="AJ750" s="51">
        <v>82</v>
      </c>
      <c r="AK750" s="73" t="s">
        <v>42</v>
      </c>
      <c r="AL750" s="78">
        <v>16620</v>
      </c>
      <c r="AM750" s="72" t="s">
        <v>964</v>
      </c>
      <c r="AN750" s="72" t="s">
        <v>928</v>
      </c>
      <c r="AO750" s="65">
        <f t="shared" si="914"/>
        <v>146445.85447963505</v>
      </c>
      <c r="AP750" s="65">
        <f t="shared" si="915"/>
        <v>48815.284826545016</v>
      </c>
      <c r="AQ750" s="65">
        <f t="shared" si="916"/>
        <v>0</v>
      </c>
      <c r="AR750" s="65">
        <f t="shared" si="917"/>
        <v>12930.818316741608</v>
      </c>
      <c r="AS750" s="65">
        <f t="shared" si="918"/>
        <v>0</v>
      </c>
      <c r="AT750" s="65">
        <f t="shared" si="919"/>
        <v>24407.642413272508</v>
      </c>
      <c r="AU750" s="65">
        <f t="shared" si="920"/>
        <v>4881.5284826545021</v>
      </c>
      <c r="AV750" s="65">
        <f t="shared" si="921"/>
        <v>30512.376544940678</v>
      </c>
      <c r="AW750" s="65">
        <f t="shared" si="922"/>
        <v>19582.761107198596</v>
      </c>
      <c r="AX750" s="65">
        <f t="shared" si="923"/>
        <v>11580.580193494145</v>
      </c>
      <c r="AY750" s="65">
        <f t="shared" si="924"/>
        <v>0</v>
      </c>
      <c r="AZ750" s="65">
        <f t="shared" si="925"/>
        <v>6736.5093060632116</v>
      </c>
      <c r="BB750" s="64"/>
      <c r="BC750" s="66"/>
      <c r="BD750" s="66"/>
      <c r="BE750" s="66"/>
    </row>
    <row r="751" spans="2:57" ht="21" customHeight="1" x14ac:dyDescent="0.2">
      <c r="B751" s="51">
        <v>83</v>
      </c>
      <c r="C751" s="73" t="s">
        <v>42</v>
      </c>
      <c r="D751" s="127">
        <v>16518</v>
      </c>
      <c r="E751" s="73" t="s">
        <v>965</v>
      </c>
      <c r="F751" s="72" t="s">
        <v>928</v>
      </c>
      <c r="G751" s="189">
        <v>43540</v>
      </c>
      <c r="H751" s="56" t="str">
        <f t="shared" si="895"/>
        <v>5 AÑOS</v>
      </c>
      <c r="I751" s="57">
        <v>7822.9623119463167</v>
      </c>
      <c r="J751" s="58"/>
      <c r="K751" s="58"/>
      <c r="L751" s="59"/>
      <c r="M751" s="60">
        <v>4.0000000000000002E-4</v>
      </c>
      <c r="N751" s="61">
        <f t="shared" si="901"/>
        <v>312.91849247785268</v>
      </c>
      <c r="O751" s="58">
        <f t="shared" si="902"/>
        <v>8135.8808044241696</v>
      </c>
      <c r="P751" s="61">
        <f t="shared" si="880"/>
        <v>16271.761608848339</v>
      </c>
      <c r="Q751" s="61">
        <f t="shared" si="881"/>
        <v>12203.821206636254</v>
      </c>
      <c r="R751" s="61">
        <f t="shared" si="882"/>
        <v>4067.9404022120848</v>
      </c>
      <c r="S751" s="61">
        <f t="shared" si="883"/>
        <v>542.39205362827795</v>
      </c>
      <c r="T751" s="58">
        <f t="shared" si="884"/>
        <v>622.61183835990016</v>
      </c>
      <c r="U751" s="61">
        <f t="shared" si="885"/>
        <v>6101.910603318127</v>
      </c>
      <c r="V751" s="58">
        <f t="shared" si="886"/>
        <v>2033.9702011060424</v>
      </c>
      <c r="W751" s="62">
        <v>0</v>
      </c>
      <c r="X751" s="63">
        <f t="shared" si="903"/>
        <v>0</v>
      </c>
      <c r="Y751" s="61">
        <v>1077.5681930618007</v>
      </c>
      <c r="Z751" s="61">
        <v>0</v>
      </c>
      <c r="AA751" s="61">
        <f t="shared" si="904"/>
        <v>2033.9702011060424</v>
      </c>
      <c r="AB751" s="61">
        <f t="shared" si="905"/>
        <v>406.79404022120849</v>
      </c>
      <c r="AC751" s="61">
        <v>2542.6980454117233</v>
      </c>
      <c r="AD751" s="61">
        <v>1631.8967589332165</v>
      </c>
      <c r="AE751" s="61">
        <v>965.04834945784535</v>
      </c>
      <c r="AF751" s="61">
        <v>0</v>
      </c>
      <c r="AG751" s="61">
        <f t="shared" si="906"/>
        <v>561.3757755052676</v>
      </c>
      <c r="AH751" s="64"/>
      <c r="AI751" s="64"/>
      <c r="AJ751" s="51">
        <v>83</v>
      </c>
      <c r="AK751" s="73" t="s">
        <v>42</v>
      </c>
      <c r="AL751" s="127">
        <v>16518</v>
      </c>
      <c r="AM751" s="73" t="s">
        <v>965</v>
      </c>
      <c r="AN751" s="72" t="s">
        <v>928</v>
      </c>
      <c r="AO751" s="65">
        <f t="shared" si="914"/>
        <v>146445.85447963505</v>
      </c>
      <c r="AP751" s="65">
        <f t="shared" si="915"/>
        <v>48815.284826545016</v>
      </c>
      <c r="AQ751" s="65">
        <f t="shared" si="916"/>
        <v>0</v>
      </c>
      <c r="AR751" s="65">
        <f t="shared" si="917"/>
        <v>12930.818316741608</v>
      </c>
      <c r="AS751" s="65">
        <f t="shared" si="918"/>
        <v>0</v>
      </c>
      <c r="AT751" s="65">
        <f t="shared" si="919"/>
        <v>24407.642413272508</v>
      </c>
      <c r="AU751" s="65">
        <f t="shared" si="920"/>
        <v>4881.5284826545021</v>
      </c>
      <c r="AV751" s="65">
        <f t="shared" si="921"/>
        <v>30512.376544940678</v>
      </c>
      <c r="AW751" s="65">
        <f t="shared" si="922"/>
        <v>19582.761107198596</v>
      </c>
      <c r="AX751" s="65">
        <f t="shared" si="923"/>
        <v>11580.580193494145</v>
      </c>
      <c r="AY751" s="65">
        <f t="shared" si="924"/>
        <v>0</v>
      </c>
      <c r="AZ751" s="65">
        <f t="shared" si="925"/>
        <v>6736.5093060632116</v>
      </c>
      <c r="BB751" s="64"/>
      <c r="BC751" s="66"/>
      <c r="BD751" s="66"/>
      <c r="BE751" s="66"/>
    </row>
    <row r="752" spans="2:57" ht="21" customHeight="1" x14ac:dyDescent="0.2">
      <c r="B752" s="51">
        <v>84</v>
      </c>
      <c r="C752" s="73" t="s">
        <v>42</v>
      </c>
      <c r="D752" s="67">
        <v>16421</v>
      </c>
      <c r="E752" s="72" t="s">
        <v>966</v>
      </c>
      <c r="F752" s="72" t="s">
        <v>928</v>
      </c>
      <c r="G752" s="55">
        <v>42156</v>
      </c>
      <c r="H752" s="56" t="str">
        <f t="shared" si="895"/>
        <v>9 AÑOS</v>
      </c>
      <c r="I752" s="57">
        <v>7822.9623119463167</v>
      </c>
      <c r="J752" s="58"/>
      <c r="K752" s="58"/>
      <c r="L752" s="59"/>
      <c r="M752" s="60">
        <v>4.0000000000000002E-4</v>
      </c>
      <c r="N752" s="61">
        <f t="shared" si="901"/>
        <v>312.91849247785268</v>
      </c>
      <c r="O752" s="58">
        <f t="shared" si="902"/>
        <v>8135.8808044241696</v>
      </c>
      <c r="P752" s="61">
        <f t="shared" si="880"/>
        <v>16271.761608848339</v>
      </c>
      <c r="Q752" s="61">
        <f t="shared" si="881"/>
        <v>12203.821206636254</v>
      </c>
      <c r="R752" s="61">
        <f t="shared" si="882"/>
        <v>4067.9404022120848</v>
      </c>
      <c r="S752" s="61">
        <f t="shared" si="883"/>
        <v>542.39205362827795</v>
      </c>
      <c r="T752" s="58">
        <f t="shared" si="884"/>
        <v>622.61183835990016</v>
      </c>
      <c r="U752" s="61">
        <f t="shared" si="885"/>
        <v>6101.910603318127</v>
      </c>
      <c r="V752" s="58">
        <f t="shared" si="886"/>
        <v>2033.9702011060424</v>
      </c>
      <c r="W752" s="62">
        <v>0</v>
      </c>
      <c r="X752" s="63">
        <f t="shared" si="903"/>
        <v>0</v>
      </c>
      <c r="Y752" s="61">
        <v>1077.5681930618007</v>
      </c>
      <c r="Z752" s="61">
        <v>0</v>
      </c>
      <c r="AA752" s="61">
        <f t="shared" si="904"/>
        <v>2033.9702011060424</v>
      </c>
      <c r="AB752" s="61">
        <f t="shared" si="905"/>
        <v>406.79404022120849</v>
      </c>
      <c r="AC752" s="61">
        <v>2542.6980454117233</v>
      </c>
      <c r="AD752" s="61">
        <v>1631.8967589332165</v>
      </c>
      <c r="AE752" s="61">
        <v>965.04834945784535</v>
      </c>
      <c r="AF752" s="61">
        <v>0</v>
      </c>
      <c r="AG752" s="61">
        <f t="shared" si="906"/>
        <v>561.3757755052676</v>
      </c>
      <c r="AH752" s="64"/>
      <c r="AI752" s="64"/>
      <c r="AJ752" s="51">
        <v>84</v>
      </c>
      <c r="AK752" s="73" t="s">
        <v>42</v>
      </c>
      <c r="AL752" s="67">
        <v>16421</v>
      </c>
      <c r="AM752" s="72" t="s">
        <v>966</v>
      </c>
      <c r="AN752" s="72" t="s">
        <v>928</v>
      </c>
      <c r="AO752" s="65">
        <f t="shared" si="914"/>
        <v>146445.85447963505</v>
      </c>
      <c r="AP752" s="65">
        <f t="shared" si="915"/>
        <v>48815.284826545016</v>
      </c>
      <c r="AQ752" s="65">
        <f t="shared" si="916"/>
        <v>0</v>
      </c>
      <c r="AR752" s="65">
        <f t="shared" si="917"/>
        <v>12930.818316741608</v>
      </c>
      <c r="AS752" s="65">
        <f t="shared" si="918"/>
        <v>0</v>
      </c>
      <c r="AT752" s="65">
        <f t="shared" si="919"/>
        <v>24407.642413272508</v>
      </c>
      <c r="AU752" s="65">
        <f t="shared" si="920"/>
        <v>4881.5284826545021</v>
      </c>
      <c r="AV752" s="65">
        <f t="shared" si="921"/>
        <v>30512.376544940678</v>
      </c>
      <c r="AW752" s="65">
        <f t="shared" si="922"/>
        <v>19582.761107198596</v>
      </c>
      <c r="AX752" s="65">
        <f t="shared" si="923"/>
        <v>11580.580193494145</v>
      </c>
      <c r="AY752" s="65">
        <f t="shared" si="924"/>
        <v>0</v>
      </c>
      <c r="AZ752" s="65">
        <f t="shared" si="925"/>
        <v>6736.5093060632116</v>
      </c>
      <c r="BB752" s="64"/>
      <c r="BC752" s="66"/>
      <c r="BD752" s="66"/>
      <c r="BE752" s="66"/>
    </row>
    <row r="753" spans="1:177" ht="21" customHeight="1" x14ac:dyDescent="0.2">
      <c r="B753" s="51">
        <v>85</v>
      </c>
      <c r="C753" s="73" t="s">
        <v>42</v>
      </c>
      <c r="D753" s="67">
        <v>16508</v>
      </c>
      <c r="E753" s="73" t="s">
        <v>967</v>
      </c>
      <c r="F753" s="72" t="s">
        <v>928</v>
      </c>
      <c r="G753" s="169">
        <v>43497</v>
      </c>
      <c r="H753" s="56" t="str">
        <f t="shared" si="895"/>
        <v>5 AÑOS</v>
      </c>
      <c r="I753" s="57">
        <v>7822.9623119463167</v>
      </c>
      <c r="J753" s="58"/>
      <c r="K753" s="58"/>
      <c r="L753" s="59"/>
      <c r="M753" s="60">
        <v>4.0000000000000002E-4</v>
      </c>
      <c r="N753" s="61">
        <f t="shared" si="901"/>
        <v>312.91849247785268</v>
      </c>
      <c r="O753" s="58">
        <f t="shared" si="902"/>
        <v>8135.8808044241696</v>
      </c>
      <c r="P753" s="61">
        <f t="shared" si="880"/>
        <v>16271.761608848339</v>
      </c>
      <c r="Q753" s="61">
        <f t="shared" si="881"/>
        <v>12203.821206636254</v>
      </c>
      <c r="R753" s="61">
        <f t="shared" si="882"/>
        <v>4067.9404022120848</v>
      </c>
      <c r="S753" s="61">
        <f t="shared" si="883"/>
        <v>542.39205362827795</v>
      </c>
      <c r="T753" s="58">
        <f t="shared" si="884"/>
        <v>622.61183835990016</v>
      </c>
      <c r="U753" s="61">
        <f t="shared" si="885"/>
        <v>6101.910603318127</v>
      </c>
      <c r="V753" s="58">
        <f t="shared" si="886"/>
        <v>2033.9702011060424</v>
      </c>
      <c r="W753" s="62">
        <v>0</v>
      </c>
      <c r="X753" s="63">
        <f t="shared" si="903"/>
        <v>0</v>
      </c>
      <c r="Y753" s="61">
        <v>1077.5681930618007</v>
      </c>
      <c r="Z753" s="61">
        <v>0</v>
      </c>
      <c r="AA753" s="61">
        <f t="shared" si="904"/>
        <v>2033.9702011060424</v>
      </c>
      <c r="AB753" s="61">
        <f t="shared" si="905"/>
        <v>406.79404022120849</v>
      </c>
      <c r="AC753" s="61">
        <v>2542.6980454117233</v>
      </c>
      <c r="AD753" s="61">
        <v>1631.8967589332165</v>
      </c>
      <c r="AE753" s="61">
        <v>965.04834945784535</v>
      </c>
      <c r="AF753" s="61">
        <v>0</v>
      </c>
      <c r="AG753" s="61">
        <f t="shared" si="906"/>
        <v>561.3757755052676</v>
      </c>
      <c r="AH753" s="64"/>
      <c r="AI753" s="64"/>
      <c r="AJ753" s="51">
        <v>85</v>
      </c>
      <c r="AK753" s="73" t="s">
        <v>42</v>
      </c>
      <c r="AL753" s="67">
        <v>16508</v>
      </c>
      <c r="AM753" s="73" t="s">
        <v>967</v>
      </c>
      <c r="AN753" s="72" t="s">
        <v>928</v>
      </c>
      <c r="AO753" s="65">
        <f t="shared" si="914"/>
        <v>146445.85447963505</v>
      </c>
      <c r="AP753" s="65">
        <f t="shared" si="915"/>
        <v>48815.284826545016</v>
      </c>
      <c r="AQ753" s="65">
        <f t="shared" si="916"/>
        <v>0</v>
      </c>
      <c r="AR753" s="65">
        <f t="shared" si="917"/>
        <v>12930.818316741608</v>
      </c>
      <c r="AS753" s="65">
        <f t="shared" si="918"/>
        <v>0</v>
      </c>
      <c r="AT753" s="65">
        <f t="shared" si="919"/>
        <v>24407.642413272508</v>
      </c>
      <c r="AU753" s="65">
        <f t="shared" si="920"/>
        <v>4881.5284826545021</v>
      </c>
      <c r="AV753" s="65">
        <f t="shared" si="921"/>
        <v>30512.376544940678</v>
      </c>
      <c r="AW753" s="65">
        <f t="shared" si="922"/>
        <v>19582.761107198596</v>
      </c>
      <c r="AX753" s="65">
        <f t="shared" si="923"/>
        <v>11580.580193494145</v>
      </c>
      <c r="AY753" s="65">
        <f t="shared" si="924"/>
        <v>0</v>
      </c>
      <c r="AZ753" s="65">
        <f t="shared" si="925"/>
        <v>6736.5093060632116</v>
      </c>
      <c r="BB753" s="64"/>
      <c r="BC753" s="66"/>
      <c r="BD753" s="66"/>
      <c r="BE753" s="66"/>
    </row>
    <row r="754" spans="1:177" ht="21" customHeight="1" x14ac:dyDescent="0.2">
      <c r="B754" s="51">
        <v>86</v>
      </c>
      <c r="C754" s="73" t="s">
        <v>42</v>
      </c>
      <c r="D754" s="67">
        <v>16533</v>
      </c>
      <c r="E754" s="72" t="s">
        <v>968</v>
      </c>
      <c r="F754" s="72" t="s">
        <v>928</v>
      </c>
      <c r="G754" s="169">
        <v>45459</v>
      </c>
      <c r="H754" s="56" t="str">
        <f t="shared" si="895"/>
        <v>0 AÑOS</v>
      </c>
      <c r="I754" s="57">
        <v>7822.9623119463167</v>
      </c>
      <c r="J754" s="58"/>
      <c r="K754" s="58"/>
      <c r="L754" s="59"/>
      <c r="M754" s="60">
        <v>4.0000000000000002E-4</v>
      </c>
      <c r="N754" s="61">
        <f t="shared" si="901"/>
        <v>312.91849247785268</v>
      </c>
      <c r="O754" s="58">
        <f t="shared" si="902"/>
        <v>8135.8808044241696</v>
      </c>
      <c r="P754" s="61">
        <f t="shared" si="880"/>
        <v>16271.761608848339</v>
      </c>
      <c r="Q754" s="61">
        <f t="shared" si="881"/>
        <v>12203.821206636254</v>
      </c>
      <c r="R754" s="61">
        <f t="shared" si="882"/>
        <v>4067.9404022120848</v>
      </c>
      <c r="S754" s="61">
        <f t="shared" si="883"/>
        <v>542.39205362827795</v>
      </c>
      <c r="T754" s="58">
        <f t="shared" si="884"/>
        <v>622.61183835990016</v>
      </c>
      <c r="U754" s="61">
        <f t="shared" si="885"/>
        <v>6101.910603318127</v>
      </c>
      <c r="V754" s="58">
        <f t="shared" si="886"/>
        <v>2033.9702011060424</v>
      </c>
      <c r="W754" s="62">
        <v>0</v>
      </c>
      <c r="X754" s="63">
        <f t="shared" si="903"/>
        <v>0</v>
      </c>
      <c r="Y754" s="61">
        <v>1077.5681930618007</v>
      </c>
      <c r="Z754" s="61">
        <v>0</v>
      </c>
      <c r="AA754" s="61">
        <f t="shared" si="904"/>
        <v>2033.9702011060424</v>
      </c>
      <c r="AB754" s="61">
        <f t="shared" si="905"/>
        <v>406.79404022120849</v>
      </c>
      <c r="AC754" s="61">
        <v>2542.6980454117233</v>
      </c>
      <c r="AD754" s="61">
        <v>1631.8967589332165</v>
      </c>
      <c r="AE754" s="61">
        <v>965.04834945784535</v>
      </c>
      <c r="AF754" s="61">
        <v>0</v>
      </c>
      <c r="AG754" s="61">
        <f t="shared" si="906"/>
        <v>561.3757755052676</v>
      </c>
      <c r="AH754" s="64"/>
      <c r="AI754" s="64"/>
      <c r="AJ754" s="51">
        <v>86</v>
      </c>
      <c r="AK754" s="73" t="s">
        <v>42</v>
      </c>
      <c r="AL754" s="67">
        <v>16533</v>
      </c>
      <c r="AM754" s="72" t="s">
        <v>968</v>
      </c>
      <c r="AN754" s="72" t="s">
        <v>928</v>
      </c>
      <c r="AO754" s="65">
        <f>Q754*7</f>
        <v>85426.74844645377</v>
      </c>
      <c r="AP754" s="65">
        <f>R754*7</f>
        <v>28475.582815484595</v>
      </c>
      <c r="AQ754" s="65">
        <f t="shared" ref="AQ754:AZ754" si="926">X754*7</f>
        <v>0</v>
      </c>
      <c r="AR754" s="65">
        <f t="shared" si="926"/>
        <v>7542.9773514326043</v>
      </c>
      <c r="AS754" s="65">
        <f t="shared" si="926"/>
        <v>0</v>
      </c>
      <c r="AT754" s="65">
        <f t="shared" si="926"/>
        <v>14237.791407742297</v>
      </c>
      <c r="AU754" s="65">
        <f t="shared" si="926"/>
        <v>2847.5582815484595</v>
      </c>
      <c r="AV754" s="65">
        <f t="shared" si="926"/>
        <v>17798.886317882065</v>
      </c>
      <c r="AW754" s="65">
        <f t="shared" si="926"/>
        <v>11423.277312532515</v>
      </c>
      <c r="AX754" s="65">
        <f t="shared" si="926"/>
        <v>6755.3384462049171</v>
      </c>
      <c r="AY754" s="65">
        <f t="shared" si="926"/>
        <v>0</v>
      </c>
      <c r="AZ754" s="65">
        <f t="shared" si="926"/>
        <v>3929.6304285368733</v>
      </c>
      <c r="BB754" s="64"/>
      <c r="BC754" s="66"/>
      <c r="BD754" s="66"/>
      <c r="BE754" s="66"/>
    </row>
    <row r="755" spans="1:177" ht="21" customHeight="1" x14ac:dyDescent="0.2">
      <c r="B755" s="51">
        <v>87</v>
      </c>
      <c r="C755" s="73" t="s">
        <v>42</v>
      </c>
      <c r="D755" s="67">
        <v>16396</v>
      </c>
      <c r="E755" s="72" t="s">
        <v>969</v>
      </c>
      <c r="F755" s="72" t="s">
        <v>928</v>
      </c>
      <c r="G755" s="55">
        <v>41867</v>
      </c>
      <c r="H755" s="56" t="str">
        <f t="shared" si="895"/>
        <v>10 AÑOS</v>
      </c>
      <c r="I755" s="57">
        <v>7822.9623119463167</v>
      </c>
      <c r="J755" s="58"/>
      <c r="K755" s="58"/>
      <c r="L755" s="59"/>
      <c r="M755" s="60">
        <v>4.0000000000000002E-4</v>
      </c>
      <c r="N755" s="61">
        <f t="shared" si="901"/>
        <v>312.91849247785268</v>
      </c>
      <c r="O755" s="58">
        <f t="shared" si="902"/>
        <v>8135.8808044241696</v>
      </c>
      <c r="P755" s="61">
        <f t="shared" si="880"/>
        <v>16271.761608848339</v>
      </c>
      <c r="Q755" s="61">
        <f t="shared" si="881"/>
        <v>12203.821206636254</v>
      </c>
      <c r="R755" s="61">
        <f t="shared" si="882"/>
        <v>4067.9404022120848</v>
      </c>
      <c r="S755" s="61">
        <f t="shared" si="883"/>
        <v>542.39205362827795</v>
      </c>
      <c r="T755" s="58">
        <f t="shared" si="884"/>
        <v>622.61183835990016</v>
      </c>
      <c r="U755" s="61">
        <f t="shared" si="885"/>
        <v>6101.910603318127</v>
      </c>
      <c r="V755" s="58">
        <f t="shared" si="886"/>
        <v>2033.9702011060424</v>
      </c>
      <c r="W755" s="62">
        <v>0</v>
      </c>
      <c r="X755" s="63">
        <f t="shared" si="903"/>
        <v>0</v>
      </c>
      <c r="Y755" s="61">
        <v>1077.5681930618007</v>
      </c>
      <c r="Z755" s="61">
        <v>0</v>
      </c>
      <c r="AA755" s="61">
        <f t="shared" si="904"/>
        <v>2033.9702011060424</v>
      </c>
      <c r="AB755" s="61">
        <f t="shared" si="905"/>
        <v>406.79404022120849</v>
      </c>
      <c r="AC755" s="61">
        <v>2542.6980454117233</v>
      </c>
      <c r="AD755" s="61">
        <v>1631.8967589332165</v>
      </c>
      <c r="AE755" s="61">
        <v>965.04834945784535</v>
      </c>
      <c r="AF755" s="61">
        <v>0</v>
      </c>
      <c r="AG755" s="61">
        <f t="shared" si="906"/>
        <v>561.3757755052676</v>
      </c>
      <c r="AH755" s="64"/>
      <c r="AI755" s="64"/>
      <c r="AJ755" s="51">
        <v>87</v>
      </c>
      <c r="AK755" s="73" t="s">
        <v>42</v>
      </c>
      <c r="AL755" s="67">
        <v>16396</v>
      </c>
      <c r="AM755" s="72" t="s">
        <v>969</v>
      </c>
      <c r="AN755" s="72" t="s">
        <v>928</v>
      </c>
      <c r="AO755" s="65">
        <f t="shared" ref="AO755:AP757" si="927">Q755*12</f>
        <v>146445.85447963505</v>
      </c>
      <c r="AP755" s="65">
        <f t="shared" si="927"/>
        <v>48815.284826545016</v>
      </c>
      <c r="AQ755" s="65">
        <f t="shared" ref="AQ755:AZ757" si="928">X755*12</f>
        <v>0</v>
      </c>
      <c r="AR755" s="65">
        <f t="shared" si="928"/>
        <v>12930.818316741608</v>
      </c>
      <c r="AS755" s="65">
        <f t="shared" si="928"/>
        <v>0</v>
      </c>
      <c r="AT755" s="65">
        <f t="shared" si="928"/>
        <v>24407.642413272508</v>
      </c>
      <c r="AU755" s="65">
        <f t="shared" si="928"/>
        <v>4881.5284826545021</v>
      </c>
      <c r="AV755" s="65">
        <f t="shared" si="928"/>
        <v>30512.376544940678</v>
      </c>
      <c r="AW755" s="65">
        <f t="shared" si="928"/>
        <v>19582.761107198596</v>
      </c>
      <c r="AX755" s="65">
        <f t="shared" si="928"/>
        <v>11580.580193494145</v>
      </c>
      <c r="AY755" s="65">
        <f t="shared" si="928"/>
        <v>0</v>
      </c>
      <c r="AZ755" s="65">
        <f t="shared" si="928"/>
        <v>6736.5093060632116</v>
      </c>
      <c r="BB755" s="64"/>
      <c r="BC755" s="66"/>
      <c r="BD755" s="66"/>
      <c r="BE755" s="66"/>
    </row>
    <row r="756" spans="1:177" ht="21" customHeight="1" x14ac:dyDescent="0.2">
      <c r="B756" s="51">
        <v>88</v>
      </c>
      <c r="C756" s="73" t="s">
        <v>42</v>
      </c>
      <c r="D756" s="78">
        <v>16492</v>
      </c>
      <c r="E756" s="50" t="s">
        <v>970</v>
      </c>
      <c r="F756" s="72" t="s">
        <v>928</v>
      </c>
      <c r="G756" s="169">
        <v>43430</v>
      </c>
      <c r="H756" s="56" t="str">
        <f t="shared" si="895"/>
        <v>6 AÑOS</v>
      </c>
      <c r="I756" s="57">
        <v>7822.9623119463167</v>
      </c>
      <c r="J756" s="58"/>
      <c r="K756" s="58"/>
      <c r="L756" s="59"/>
      <c r="M756" s="60">
        <v>4.0000000000000002E-4</v>
      </c>
      <c r="N756" s="61">
        <f t="shared" si="901"/>
        <v>312.91849247785268</v>
      </c>
      <c r="O756" s="58">
        <f t="shared" si="902"/>
        <v>8135.8808044241696</v>
      </c>
      <c r="P756" s="61">
        <f t="shared" si="880"/>
        <v>16271.761608848339</v>
      </c>
      <c r="Q756" s="61">
        <f t="shared" si="881"/>
        <v>12203.821206636254</v>
      </c>
      <c r="R756" s="61">
        <f t="shared" si="882"/>
        <v>4067.9404022120848</v>
      </c>
      <c r="S756" s="61">
        <f t="shared" si="883"/>
        <v>542.39205362827795</v>
      </c>
      <c r="T756" s="58">
        <f t="shared" si="884"/>
        <v>622.61183835990016</v>
      </c>
      <c r="U756" s="61">
        <f t="shared" si="885"/>
        <v>6101.910603318127</v>
      </c>
      <c r="V756" s="58">
        <f t="shared" si="886"/>
        <v>2033.9702011060424</v>
      </c>
      <c r="W756" s="62">
        <v>0</v>
      </c>
      <c r="X756" s="63">
        <f t="shared" si="903"/>
        <v>0</v>
      </c>
      <c r="Y756" s="61">
        <v>1077.5681930618007</v>
      </c>
      <c r="Z756" s="61">
        <v>0</v>
      </c>
      <c r="AA756" s="61">
        <f t="shared" si="904"/>
        <v>2033.9702011060424</v>
      </c>
      <c r="AB756" s="61">
        <f t="shared" si="905"/>
        <v>406.79404022120849</v>
      </c>
      <c r="AC756" s="61">
        <v>2542.6980454117233</v>
      </c>
      <c r="AD756" s="61">
        <v>1631.8967589332165</v>
      </c>
      <c r="AE756" s="61">
        <v>965.04834945784535</v>
      </c>
      <c r="AF756" s="61">
        <v>0</v>
      </c>
      <c r="AG756" s="61">
        <f t="shared" si="906"/>
        <v>561.3757755052676</v>
      </c>
      <c r="AH756" s="64"/>
      <c r="AI756" s="64"/>
      <c r="AJ756" s="51">
        <v>88</v>
      </c>
      <c r="AK756" s="73" t="s">
        <v>42</v>
      </c>
      <c r="AL756" s="78">
        <v>16492</v>
      </c>
      <c r="AM756" s="50" t="s">
        <v>970</v>
      </c>
      <c r="AN756" s="72" t="s">
        <v>928</v>
      </c>
      <c r="AO756" s="65">
        <f t="shared" si="927"/>
        <v>146445.85447963505</v>
      </c>
      <c r="AP756" s="65">
        <f t="shared" si="927"/>
        <v>48815.284826545016</v>
      </c>
      <c r="AQ756" s="65">
        <f t="shared" si="928"/>
        <v>0</v>
      </c>
      <c r="AR756" s="65">
        <f t="shared" si="928"/>
        <v>12930.818316741608</v>
      </c>
      <c r="AS756" s="65">
        <f t="shared" si="928"/>
        <v>0</v>
      </c>
      <c r="AT756" s="65">
        <f t="shared" si="928"/>
        <v>24407.642413272508</v>
      </c>
      <c r="AU756" s="65">
        <f t="shared" si="928"/>
        <v>4881.5284826545021</v>
      </c>
      <c r="AV756" s="65">
        <f t="shared" si="928"/>
        <v>30512.376544940678</v>
      </c>
      <c r="AW756" s="65">
        <f t="shared" si="928"/>
        <v>19582.761107198596</v>
      </c>
      <c r="AX756" s="65">
        <f t="shared" si="928"/>
        <v>11580.580193494145</v>
      </c>
      <c r="AY756" s="65">
        <f t="shared" si="928"/>
        <v>0</v>
      </c>
      <c r="AZ756" s="65">
        <f t="shared" si="928"/>
        <v>6736.5093060632116</v>
      </c>
      <c r="BB756" s="64"/>
      <c r="BC756" s="66"/>
      <c r="BD756" s="66"/>
      <c r="BE756" s="66"/>
    </row>
    <row r="757" spans="1:177" ht="21" customHeight="1" x14ac:dyDescent="0.2">
      <c r="B757" s="51">
        <v>89</v>
      </c>
      <c r="C757" s="73" t="s">
        <v>42</v>
      </c>
      <c r="D757" s="67">
        <v>16642</v>
      </c>
      <c r="E757" s="73" t="s">
        <v>971</v>
      </c>
      <c r="F757" s="72" t="s">
        <v>951</v>
      </c>
      <c r="G757" s="279">
        <v>45352</v>
      </c>
      <c r="H757" s="56" t="str">
        <f t="shared" si="895"/>
        <v>0 AÑOS</v>
      </c>
      <c r="I757" s="57">
        <v>7822.9623119463167</v>
      </c>
      <c r="J757" s="58"/>
      <c r="K757" s="58"/>
      <c r="L757" s="59"/>
      <c r="M757" s="60">
        <v>4.0000000000000002E-4</v>
      </c>
      <c r="N757" s="61">
        <f t="shared" si="901"/>
        <v>312.91849247785268</v>
      </c>
      <c r="O757" s="58">
        <f t="shared" si="902"/>
        <v>8135.8808044241696</v>
      </c>
      <c r="P757" s="61">
        <f t="shared" si="880"/>
        <v>16271.761608848339</v>
      </c>
      <c r="Q757" s="61">
        <f t="shared" si="881"/>
        <v>12203.821206636254</v>
      </c>
      <c r="R757" s="61">
        <f t="shared" si="882"/>
        <v>4067.9404022120848</v>
      </c>
      <c r="S757" s="61">
        <f t="shared" si="883"/>
        <v>542.39205362827795</v>
      </c>
      <c r="T757" s="58">
        <f t="shared" si="884"/>
        <v>622.61183835990016</v>
      </c>
      <c r="U757" s="61">
        <f t="shared" si="885"/>
        <v>6101.910603318127</v>
      </c>
      <c r="V757" s="58">
        <f t="shared" si="886"/>
        <v>2033.9702011060424</v>
      </c>
      <c r="W757" s="62">
        <v>0</v>
      </c>
      <c r="X757" s="63">
        <f t="shared" si="903"/>
        <v>0</v>
      </c>
      <c r="Y757" s="61">
        <v>1077.5681930618007</v>
      </c>
      <c r="Z757" s="61">
        <v>0</v>
      </c>
      <c r="AA757" s="61">
        <f t="shared" si="904"/>
        <v>2033.9702011060424</v>
      </c>
      <c r="AB757" s="61">
        <f t="shared" si="905"/>
        <v>406.79404022120849</v>
      </c>
      <c r="AC757" s="61">
        <v>2542.6980454117233</v>
      </c>
      <c r="AD757" s="61">
        <v>1631.8967589332165</v>
      </c>
      <c r="AE757" s="61">
        <v>965.04834945784535</v>
      </c>
      <c r="AF757" s="61">
        <v>0</v>
      </c>
      <c r="AG757" s="61">
        <f t="shared" si="906"/>
        <v>561.3757755052676</v>
      </c>
      <c r="AH757" s="64"/>
      <c r="AI757" s="64"/>
      <c r="AJ757" s="51">
        <v>89</v>
      </c>
      <c r="AK757" s="73" t="s">
        <v>42</v>
      </c>
      <c r="AL757" s="67">
        <v>16642</v>
      </c>
      <c r="AM757" s="73" t="s">
        <v>971</v>
      </c>
      <c r="AN757" s="72" t="s">
        <v>951</v>
      </c>
      <c r="AO757" s="65">
        <f t="shared" si="927"/>
        <v>146445.85447963505</v>
      </c>
      <c r="AP757" s="65">
        <f t="shared" si="927"/>
        <v>48815.284826545016</v>
      </c>
      <c r="AQ757" s="65">
        <f t="shared" si="928"/>
        <v>0</v>
      </c>
      <c r="AR757" s="65">
        <f t="shared" si="928"/>
        <v>12930.818316741608</v>
      </c>
      <c r="AS757" s="65">
        <f t="shared" si="928"/>
        <v>0</v>
      </c>
      <c r="AT757" s="65">
        <f t="shared" si="928"/>
        <v>24407.642413272508</v>
      </c>
      <c r="AU757" s="65">
        <f t="shared" si="928"/>
        <v>4881.5284826545021</v>
      </c>
      <c r="AV757" s="65">
        <f t="shared" si="928"/>
        <v>30512.376544940678</v>
      </c>
      <c r="AW757" s="65">
        <f t="shared" si="928"/>
        <v>19582.761107198596</v>
      </c>
      <c r="AX757" s="65">
        <f t="shared" si="928"/>
        <v>11580.580193494145</v>
      </c>
      <c r="AY757" s="65">
        <f t="shared" si="928"/>
        <v>0</v>
      </c>
      <c r="AZ757" s="65">
        <f t="shared" si="928"/>
        <v>6736.5093060632116</v>
      </c>
      <c r="BB757" s="64"/>
      <c r="BC757" s="66"/>
      <c r="BD757" s="66"/>
      <c r="BE757" s="66"/>
    </row>
    <row r="758" spans="1:177" ht="21" customHeight="1" x14ac:dyDescent="0.2">
      <c r="B758" s="51">
        <v>90</v>
      </c>
      <c r="C758" s="73" t="s">
        <v>42</v>
      </c>
      <c r="D758" s="67">
        <v>16639</v>
      </c>
      <c r="E758" s="206" t="s">
        <v>972</v>
      </c>
      <c r="F758" s="72" t="s">
        <v>928</v>
      </c>
      <c r="G758" s="157">
        <v>45323</v>
      </c>
      <c r="H758" s="56" t="str">
        <f t="shared" si="895"/>
        <v>0 AÑOS</v>
      </c>
      <c r="I758" s="57">
        <v>7822.9623119463167</v>
      </c>
      <c r="J758" s="58"/>
      <c r="K758" s="58"/>
      <c r="L758" s="59"/>
      <c r="M758" s="60">
        <v>4.0000000000000002E-4</v>
      </c>
      <c r="N758" s="61">
        <f t="shared" si="901"/>
        <v>312.91849247785268</v>
      </c>
      <c r="O758" s="58">
        <f t="shared" si="902"/>
        <v>8135.8808044241696</v>
      </c>
      <c r="P758" s="61">
        <f t="shared" si="880"/>
        <v>16271.761608848339</v>
      </c>
      <c r="Q758" s="61">
        <f t="shared" si="881"/>
        <v>12203.821206636254</v>
      </c>
      <c r="R758" s="61">
        <f t="shared" si="882"/>
        <v>4067.9404022120848</v>
      </c>
      <c r="S758" s="61">
        <f t="shared" si="883"/>
        <v>542.39205362827795</v>
      </c>
      <c r="T758" s="58">
        <f t="shared" si="884"/>
        <v>622.61183835990016</v>
      </c>
      <c r="U758" s="61">
        <f t="shared" si="885"/>
        <v>6101.910603318127</v>
      </c>
      <c r="V758" s="58">
        <f t="shared" si="886"/>
        <v>2033.9702011060424</v>
      </c>
      <c r="W758" s="62">
        <v>0</v>
      </c>
      <c r="X758" s="63">
        <f t="shared" si="903"/>
        <v>0</v>
      </c>
      <c r="Y758" s="61">
        <v>1077.5681930618007</v>
      </c>
      <c r="Z758" s="61">
        <v>0</v>
      </c>
      <c r="AA758" s="61">
        <f t="shared" si="904"/>
        <v>2033.9702011060424</v>
      </c>
      <c r="AB758" s="61">
        <f t="shared" si="905"/>
        <v>406.79404022120849</v>
      </c>
      <c r="AC758" s="61">
        <v>2542.6980454117233</v>
      </c>
      <c r="AD758" s="61">
        <v>1631.8967589332165</v>
      </c>
      <c r="AE758" s="61">
        <v>965.04834945784535</v>
      </c>
      <c r="AF758" s="61">
        <v>0</v>
      </c>
      <c r="AG758" s="61">
        <f t="shared" si="906"/>
        <v>561.3757755052676</v>
      </c>
      <c r="AH758" s="64"/>
      <c r="AI758" s="64"/>
      <c r="AJ758" s="51">
        <v>90</v>
      </c>
      <c r="AK758" s="73" t="s">
        <v>42</v>
      </c>
      <c r="AL758" s="67">
        <v>16639</v>
      </c>
      <c r="AM758" s="206" t="s">
        <v>972</v>
      </c>
      <c r="AN758" s="72" t="s">
        <v>928</v>
      </c>
      <c r="AO758" s="65">
        <f>Q758*11</f>
        <v>134242.03327299879</v>
      </c>
      <c r="AP758" s="65">
        <f>R758*11</f>
        <v>44747.344424332936</v>
      </c>
      <c r="AQ758" s="65">
        <f t="shared" ref="AQ758:AZ758" si="929">X758*11</f>
        <v>0</v>
      </c>
      <c r="AR758" s="65">
        <f t="shared" si="929"/>
        <v>11853.250123679807</v>
      </c>
      <c r="AS758" s="65">
        <f t="shared" si="929"/>
        <v>0</v>
      </c>
      <c r="AT758" s="65">
        <f t="shared" si="929"/>
        <v>22373.672212166468</v>
      </c>
      <c r="AU758" s="65">
        <f t="shared" si="929"/>
        <v>4474.7344424332932</v>
      </c>
      <c r="AV758" s="65">
        <f t="shared" si="929"/>
        <v>27969.678499528956</v>
      </c>
      <c r="AW758" s="65">
        <f t="shared" si="929"/>
        <v>17950.864348265382</v>
      </c>
      <c r="AX758" s="65">
        <f t="shared" si="929"/>
        <v>10615.531844036299</v>
      </c>
      <c r="AY758" s="65">
        <f t="shared" si="929"/>
        <v>0</v>
      </c>
      <c r="AZ758" s="65">
        <f t="shared" si="929"/>
        <v>6175.1335305579432</v>
      </c>
      <c r="BB758" s="64"/>
      <c r="BC758" s="66"/>
      <c r="BD758" s="66"/>
      <c r="BE758" s="66"/>
    </row>
    <row r="759" spans="1:177" ht="21" customHeight="1" x14ac:dyDescent="0.2">
      <c r="B759" s="51">
        <v>91</v>
      </c>
      <c r="C759" s="73" t="s">
        <v>42</v>
      </c>
      <c r="D759" s="67">
        <v>16471</v>
      </c>
      <c r="E759" s="72" t="s">
        <v>973</v>
      </c>
      <c r="F759" s="72" t="s">
        <v>928</v>
      </c>
      <c r="G759" s="55">
        <v>43085</v>
      </c>
      <c r="H759" s="56" t="str">
        <f t="shared" si="895"/>
        <v>7 AÑOS</v>
      </c>
      <c r="I759" s="57">
        <v>7822.9623119463167</v>
      </c>
      <c r="J759" s="58"/>
      <c r="K759" s="58"/>
      <c r="L759" s="59"/>
      <c r="M759" s="60">
        <v>4.0000000000000002E-4</v>
      </c>
      <c r="N759" s="61">
        <f t="shared" si="901"/>
        <v>312.91849247785268</v>
      </c>
      <c r="O759" s="58">
        <f t="shared" si="902"/>
        <v>8135.8808044241696</v>
      </c>
      <c r="P759" s="61">
        <f t="shared" si="880"/>
        <v>16271.761608848339</v>
      </c>
      <c r="Q759" s="61">
        <f t="shared" si="881"/>
        <v>12203.821206636254</v>
      </c>
      <c r="R759" s="61">
        <f t="shared" si="882"/>
        <v>4067.9404022120848</v>
      </c>
      <c r="S759" s="61">
        <f t="shared" si="883"/>
        <v>542.39205362827795</v>
      </c>
      <c r="T759" s="58">
        <f t="shared" si="884"/>
        <v>622.61183835990016</v>
      </c>
      <c r="U759" s="61">
        <f t="shared" si="885"/>
        <v>6101.910603318127</v>
      </c>
      <c r="V759" s="58">
        <f t="shared" si="886"/>
        <v>2033.9702011060424</v>
      </c>
      <c r="W759" s="62">
        <v>0</v>
      </c>
      <c r="X759" s="63">
        <f t="shared" si="903"/>
        <v>0</v>
      </c>
      <c r="Y759" s="61">
        <v>1077.5681930618007</v>
      </c>
      <c r="Z759" s="61">
        <v>0</v>
      </c>
      <c r="AA759" s="61">
        <f t="shared" si="904"/>
        <v>2033.9702011060424</v>
      </c>
      <c r="AB759" s="61">
        <f t="shared" si="905"/>
        <v>406.79404022120849</v>
      </c>
      <c r="AC759" s="61">
        <v>2542.6980454117233</v>
      </c>
      <c r="AD759" s="61">
        <v>1631.8967589332165</v>
      </c>
      <c r="AE759" s="61">
        <v>965.04834945784535</v>
      </c>
      <c r="AF759" s="61">
        <v>0</v>
      </c>
      <c r="AG759" s="61">
        <f t="shared" si="906"/>
        <v>561.3757755052676</v>
      </c>
      <c r="AH759" s="64"/>
      <c r="AI759" s="64"/>
      <c r="AJ759" s="51">
        <v>91</v>
      </c>
      <c r="AK759" s="73" t="s">
        <v>42</v>
      </c>
      <c r="AL759" s="67">
        <v>16471</v>
      </c>
      <c r="AM759" s="72" t="s">
        <v>973</v>
      </c>
      <c r="AN759" s="72" t="s">
        <v>928</v>
      </c>
      <c r="AO759" s="65">
        <f t="shared" ref="AO759:AP763" si="930">Q759*12</f>
        <v>146445.85447963505</v>
      </c>
      <c r="AP759" s="65">
        <f t="shared" si="930"/>
        <v>48815.284826545016</v>
      </c>
      <c r="AQ759" s="65">
        <f t="shared" ref="AQ759:AZ763" si="931">X759*12</f>
        <v>0</v>
      </c>
      <c r="AR759" s="65">
        <f t="shared" si="931"/>
        <v>12930.818316741608</v>
      </c>
      <c r="AS759" s="65">
        <f t="shared" si="931"/>
        <v>0</v>
      </c>
      <c r="AT759" s="65">
        <f t="shared" si="931"/>
        <v>24407.642413272508</v>
      </c>
      <c r="AU759" s="65">
        <f t="shared" si="931"/>
        <v>4881.5284826545021</v>
      </c>
      <c r="AV759" s="65">
        <f t="shared" si="931"/>
        <v>30512.376544940678</v>
      </c>
      <c r="AW759" s="65">
        <f t="shared" si="931"/>
        <v>19582.761107198596</v>
      </c>
      <c r="AX759" s="65">
        <f t="shared" si="931"/>
        <v>11580.580193494145</v>
      </c>
      <c r="AY759" s="65">
        <f t="shared" si="931"/>
        <v>0</v>
      </c>
      <c r="AZ759" s="65">
        <f t="shared" si="931"/>
        <v>6736.5093060632116</v>
      </c>
      <c r="BB759" s="64"/>
      <c r="BC759" s="66"/>
      <c r="BD759" s="66"/>
      <c r="BE759" s="66"/>
    </row>
    <row r="760" spans="1:177" ht="21" customHeight="1" x14ac:dyDescent="0.2">
      <c r="B760" s="51">
        <v>92</v>
      </c>
      <c r="C760" s="73" t="s">
        <v>42</v>
      </c>
      <c r="D760" s="67">
        <v>16563</v>
      </c>
      <c r="E760" s="73" t="s">
        <v>974</v>
      </c>
      <c r="F760" s="72" t="s">
        <v>951</v>
      </c>
      <c r="G760" s="55">
        <v>43877</v>
      </c>
      <c r="H760" s="56" t="str">
        <f t="shared" si="895"/>
        <v>4 AÑOS</v>
      </c>
      <c r="I760" s="57">
        <v>7822.9623119463167</v>
      </c>
      <c r="J760" s="58"/>
      <c r="K760" s="58"/>
      <c r="L760" s="59"/>
      <c r="M760" s="60">
        <v>4.0000000000000002E-4</v>
      </c>
      <c r="N760" s="61">
        <f t="shared" si="901"/>
        <v>312.91849247785268</v>
      </c>
      <c r="O760" s="58">
        <f t="shared" si="902"/>
        <v>8135.8808044241696</v>
      </c>
      <c r="P760" s="61">
        <f t="shared" si="880"/>
        <v>16271.761608848339</v>
      </c>
      <c r="Q760" s="61">
        <f t="shared" si="881"/>
        <v>12203.821206636254</v>
      </c>
      <c r="R760" s="61">
        <f t="shared" si="882"/>
        <v>4067.9404022120848</v>
      </c>
      <c r="S760" s="61">
        <f t="shared" si="883"/>
        <v>542.39205362827795</v>
      </c>
      <c r="T760" s="58">
        <f t="shared" si="884"/>
        <v>622.61183835990016</v>
      </c>
      <c r="U760" s="61">
        <f t="shared" si="885"/>
        <v>6101.910603318127</v>
      </c>
      <c r="V760" s="58">
        <f t="shared" si="886"/>
        <v>2033.9702011060424</v>
      </c>
      <c r="W760" s="62">
        <v>0</v>
      </c>
      <c r="X760" s="63">
        <f t="shared" si="903"/>
        <v>0</v>
      </c>
      <c r="Y760" s="61">
        <v>1077.5681930618007</v>
      </c>
      <c r="Z760" s="61">
        <v>0</v>
      </c>
      <c r="AA760" s="61">
        <f t="shared" si="904"/>
        <v>2033.9702011060424</v>
      </c>
      <c r="AB760" s="61">
        <f t="shared" si="905"/>
        <v>406.79404022120849</v>
      </c>
      <c r="AC760" s="61">
        <v>2542.6980454117233</v>
      </c>
      <c r="AD760" s="61">
        <v>1631.8967589332165</v>
      </c>
      <c r="AE760" s="61">
        <v>965.04834945784535</v>
      </c>
      <c r="AF760" s="61">
        <v>0</v>
      </c>
      <c r="AG760" s="61">
        <f t="shared" si="906"/>
        <v>561.3757755052676</v>
      </c>
      <c r="AH760" s="64"/>
      <c r="AI760" s="64"/>
      <c r="AJ760" s="51">
        <v>92</v>
      </c>
      <c r="AK760" s="73" t="s">
        <v>42</v>
      </c>
      <c r="AL760" s="67">
        <v>16563</v>
      </c>
      <c r="AM760" s="73" t="s">
        <v>974</v>
      </c>
      <c r="AN760" s="72" t="s">
        <v>951</v>
      </c>
      <c r="AO760" s="65">
        <f t="shared" si="930"/>
        <v>146445.85447963505</v>
      </c>
      <c r="AP760" s="65">
        <f t="shared" si="930"/>
        <v>48815.284826545016</v>
      </c>
      <c r="AQ760" s="65">
        <f t="shared" si="931"/>
        <v>0</v>
      </c>
      <c r="AR760" s="65">
        <f t="shared" si="931"/>
        <v>12930.818316741608</v>
      </c>
      <c r="AS760" s="65">
        <f t="shared" si="931"/>
        <v>0</v>
      </c>
      <c r="AT760" s="65">
        <f t="shared" si="931"/>
        <v>24407.642413272508</v>
      </c>
      <c r="AU760" s="65">
        <f t="shared" si="931"/>
        <v>4881.5284826545021</v>
      </c>
      <c r="AV760" s="65">
        <f t="shared" si="931"/>
        <v>30512.376544940678</v>
      </c>
      <c r="AW760" s="65">
        <f t="shared" si="931"/>
        <v>19582.761107198596</v>
      </c>
      <c r="AX760" s="65">
        <f t="shared" si="931"/>
        <v>11580.580193494145</v>
      </c>
      <c r="AY760" s="65">
        <f t="shared" si="931"/>
        <v>0</v>
      </c>
      <c r="AZ760" s="65">
        <f t="shared" si="931"/>
        <v>6736.5093060632116</v>
      </c>
      <c r="BB760" s="64"/>
      <c r="BC760" s="66"/>
      <c r="BD760" s="66"/>
      <c r="BE760" s="66"/>
    </row>
    <row r="761" spans="1:177" ht="21" customHeight="1" x14ac:dyDescent="0.2">
      <c r="B761" s="51">
        <v>93</v>
      </c>
      <c r="C761" s="73" t="s">
        <v>42</v>
      </c>
      <c r="D761" s="67">
        <v>16499</v>
      </c>
      <c r="E761" s="72" t="s">
        <v>975</v>
      </c>
      <c r="F761" s="72" t="s">
        <v>928</v>
      </c>
      <c r="G761" s="169">
        <v>43435</v>
      </c>
      <c r="H761" s="56" t="str">
        <f t="shared" si="895"/>
        <v>6 AÑOS</v>
      </c>
      <c r="I761" s="57">
        <v>7822.9623119463167</v>
      </c>
      <c r="J761" s="58"/>
      <c r="K761" s="58"/>
      <c r="L761" s="59"/>
      <c r="M761" s="60">
        <v>4.0000000000000002E-4</v>
      </c>
      <c r="N761" s="61">
        <f t="shared" si="901"/>
        <v>312.91849247785268</v>
      </c>
      <c r="O761" s="58">
        <f t="shared" si="902"/>
        <v>8135.8808044241696</v>
      </c>
      <c r="P761" s="61">
        <f t="shared" si="880"/>
        <v>16271.761608848339</v>
      </c>
      <c r="Q761" s="61">
        <f t="shared" si="881"/>
        <v>12203.821206636254</v>
      </c>
      <c r="R761" s="61">
        <f t="shared" si="882"/>
        <v>4067.9404022120848</v>
      </c>
      <c r="S761" s="61">
        <f t="shared" si="883"/>
        <v>542.39205362827795</v>
      </c>
      <c r="T761" s="58">
        <f t="shared" si="884"/>
        <v>622.61183835990016</v>
      </c>
      <c r="U761" s="61">
        <f t="shared" si="885"/>
        <v>6101.910603318127</v>
      </c>
      <c r="V761" s="58">
        <f t="shared" si="886"/>
        <v>2033.9702011060424</v>
      </c>
      <c r="W761" s="62">
        <v>0</v>
      </c>
      <c r="X761" s="63">
        <f t="shared" si="903"/>
        <v>0</v>
      </c>
      <c r="Y761" s="61">
        <v>1077.5681930618007</v>
      </c>
      <c r="Z761" s="61">
        <v>0</v>
      </c>
      <c r="AA761" s="61">
        <f t="shared" si="904"/>
        <v>2033.9702011060424</v>
      </c>
      <c r="AB761" s="61">
        <f t="shared" si="905"/>
        <v>406.79404022120849</v>
      </c>
      <c r="AC761" s="61">
        <v>2542.6980454117233</v>
      </c>
      <c r="AD761" s="61">
        <v>1631.8967589332165</v>
      </c>
      <c r="AE761" s="61">
        <v>965.04834945784535</v>
      </c>
      <c r="AF761" s="61">
        <v>0</v>
      </c>
      <c r="AG761" s="61">
        <f t="shared" si="906"/>
        <v>561.3757755052676</v>
      </c>
      <c r="AH761" s="64"/>
      <c r="AI761" s="64"/>
      <c r="AJ761" s="51">
        <v>93</v>
      </c>
      <c r="AK761" s="73" t="s">
        <v>42</v>
      </c>
      <c r="AL761" s="67">
        <v>16499</v>
      </c>
      <c r="AM761" s="72" t="s">
        <v>975</v>
      </c>
      <c r="AN761" s="72" t="s">
        <v>928</v>
      </c>
      <c r="AO761" s="65">
        <f t="shared" si="930"/>
        <v>146445.85447963505</v>
      </c>
      <c r="AP761" s="65">
        <f t="shared" si="930"/>
        <v>48815.284826545016</v>
      </c>
      <c r="AQ761" s="65">
        <f t="shared" si="931"/>
        <v>0</v>
      </c>
      <c r="AR761" s="65">
        <f t="shared" si="931"/>
        <v>12930.818316741608</v>
      </c>
      <c r="AS761" s="65">
        <f t="shared" si="931"/>
        <v>0</v>
      </c>
      <c r="AT761" s="65">
        <f t="shared" si="931"/>
        <v>24407.642413272508</v>
      </c>
      <c r="AU761" s="65">
        <f t="shared" si="931"/>
        <v>4881.5284826545021</v>
      </c>
      <c r="AV761" s="65">
        <f t="shared" si="931"/>
        <v>30512.376544940678</v>
      </c>
      <c r="AW761" s="65">
        <f t="shared" si="931"/>
        <v>19582.761107198596</v>
      </c>
      <c r="AX761" s="65">
        <f t="shared" si="931"/>
        <v>11580.580193494145</v>
      </c>
      <c r="AY761" s="65">
        <f t="shared" si="931"/>
        <v>0</v>
      </c>
      <c r="AZ761" s="65">
        <f t="shared" si="931"/>
        <v>6736.5093060632116</v>
      </c>
      <c r="BB761" s="64"/>
      <c r="BC761" s="66"/>
      <c r="BD761" s="66"/>
      <c r="BE761" s="66"/>
    </row>
    <row r="762" spans="1:177" ht="21" customHeight="1" x14ac:dyDescent="0.2">
      <c r="B762" s="51">
        <v>94</v>
      </c>
      <c r="C762" s="73" t="s">
        <v>42</v>
      </c>
      <c r="D762" s="67">
        <v>16489</v>
      </c>
      <c r="E762" s="73" t="s">
        <v>976</v>
      </c>
      <c r="F762" s="72" t="s">
        <v>928</v>
      </c>
      <c r="G762" s="55">
        <v>43405</v>
      </c>
      <c r="H762" s="56" t="str">
        <f t="shared" si="895"/>
        <v>6 AÑOS</v>
      </c>
      <c r="I762" s="57">
        <v>7822.9623119463167</v>
      </c>
      <c r="J762" s="58"/>
      <c r="K762" s="58"/>
      <c r="L762" s="59"/>
      <c r="M762" s="60">
        <v>4.0000000000000002E-4</v>
      </c>
      <c r="N762" s="61">
        <f t="shared" si="901"/>
        <v>312.91849247785268</v>
      </c>
      <c r="O762" s="58">
        <f t="shared" si="902"/>
        <v>8135.8808044241696</v>
      </c>
      <c r="P762" s="61">
        <f t="shared" si="880"/>
        <v>16271.761608848339</v>
      </c>
      <c r="Q762" s="61">
        <f t="shared" si="881"/>
        <v>12203.821206636254</v>
      </c>
      <c r="R762" s="61">
        <f t="shared" si="882"/>
        <v>4067.9404022120848</v>
      </c>
      <c r="S762" s="61">
        <f t="shared" si="883"/>
        <v>542.39205362827795</v>
      </c>
      <c r="T762" s="58">
        <f t="shared" si="884"/>
        <v>622.61183835990016</v>
      </c>
      <c r="U762" s="61">
        <f t="shared" si="885"/>
        <v>6101.910603318127</v>
      </c>
      <c r="V762" s="58">
        <f t="shared" si="886"/>
        <v>2033.9702011060424</v>
      </c>
      <c r="W762" s="62">
        <v>0</v>
      </c>
      <c r="X762" s="63">
        <f t="shared" si="903"/>
        <v>0</v>
      </c>
      <c r="Y762" s="61">
        <v>1077.5681930618007</v>
      </c>
      <c r="Z762" s="61">
        <v>0</v>
      </c>
      <c r="AA762" s="61">
        <f t="shared" si="904"/>
        <v>2033.9702011060424</v>
      </c>
      <c r="AB762" s="61">
        <f t="shared" si="905"/>
        <v>406.79404022120849</v>
      </c>
      <c r="AC762" s="61">
        <v>2542.6980454117233</v>
      </c>
      <c r="AD762" s="61">
        <v>1631.8967589332165</v>
      </c>
      <c r="AE762" s="61">
        <v>965.04834945784535</v>
      </c>
      <c r="AF762" s="61">
        <v>0</v>
      </c>
      <c r="AG762" s="61">
        <f t="shared" si="906"/>
        <v>561.3757755052676</v>
      </c>
      <c r="AH762" s="64"/>
      <c r="AI762" s="64"/>
      <c r="AJ762" s="51">
        <v>94</v>
      </c>
      <c r="AK762" s="73" t="s">
        <v>42</v>
      </c>
      <c r="AL762" s="67">
        <v>16489</v>
      </c>
      <c r="AM762" s="73" t="s">
        <v>976</v>
      </c>
      <c r="AN762" s="72" t="s">
        <v>928</v>
      </c>
      <c r="AO762" s="65">
        <f t="shared" si="930"/>
        <v>146445.85447963505</v>
      </c>
      <c r="AP762" s="65">
        <f t="shared" si="930"/>
        <v>48815.284826545016</v>
      </c>
      <c r="AQ762" s="65">
        <f t="shared" si="931"/>
        <v>0</v>
      </c>
      <c r="AR762" s="65">
        <f t="shared" si="931"/>
        <v>12930.818316741608</v>
      </c>
      <c r="AS762" s="65">
        <f t="shared" si="931"/>
        <v>0</v>
      </c>
      <c r="AT762" s="65">
        <f t="shared" si="931"/>
        <v>24407.642413272508</v>
      </c>
      <c r="AU762" s="65">
        <f t="shared" si="931"/>
        <v>4881.5284826545021</v>
      </c>
      <c r="AV762" s="65">
        <f t="shared" si="931"/>
        <v>30512.376544940678</v>
      </c>
      <c r="AW762" s="65">
        <f t="shared" si="931"/>
        <v>19582.761107198596</v>
      </c>
      <c r="AX762" s="65">
        <f t="shared" si="931"/>
        <v>11580.580193494145</v>
      </c>
      <c r="AY762" s="65">
        <f t="shared" si="931"/>
        <v>0</v>
      </c>
      <c r="AZ762" s="65">
        <f t="shared" si="931"/>
        <v>6736.5093060632116</v>
      </c>
      <c r="BB762" s="64"/>
      <c r="BC762" s="66"/>
      <c r="BD762" s="66"/>
      <c r="BE762" s="66"/>
    </row>
    <row r="763" spans="1:177" ht="21" customHeight="1" x14ac:dyDescent="0.2">
      <c r="B763" s="51">
        <v>95</v>
      </c>
      <c r="C763" s="73" t="s">
        <v>42</v>
      </c>
      <c r="D763" s="281">
        <v>16608</v>
      </c>
      <c r="E763" s="73" t="s">
        <v>977</v>
      </c>
      <c r="F763" s="72" t="s">
        <v>928</v>
      </c>
      <c r="G763" s="169">
        <v>44743</v>
      </c>
      <c r="H763" s="56" t="str">
        <f t="shared" si="895"/>
        <v>2 AÑOS</v>
      </c>
      <c r="I763" s="57">
        <v>7822.9623119463167</v>
      </c>
      <c r="J763" s="58"/>
      <c r="K763" s="58"/>
      <c r="L763" s="59"/>
      <c r="M763" s="60">
        <v>4.0000000000000002E-4</v>
      </c>
      <c r="N763" s="61">
        <f t="shared" si="901"/>
        <v>312.91849247785268</v>
      </c>
      <c r="O763" s="58">
        <f t="shared" si="902"/>
        <v>8135.8808044241696</v>
      </c>
      <c r="P763" s="61">
        <f t="shared" si="880"/>
        <v>16271.761608848339</v>
      </c>
      <c r="Q763" s="61">
        <f t="shared" si="881"/>
        <v>12203.821206636254</v>
      </c>
      <c r="R763" s="61">
        <f t="shared" si="882"/>
        <v>4067.9404022120848</v>
      </c>
      <c r="S763" s="61">
        <f t="shared" si="883"/>
        <v>542.39205362827795</v>
      </c>
      <c r="T763" s="58">
        <f t="shared" si="884"/>
        <v>622.61183835990016</v>
      </c>
      <c r="U763" s="61">
        <f t="shared" si="885"/>
        <v>6101.910603318127</v>
      </c>
      <c r="V763" s="58">
        <f t="shared" si="886"/>
        <v>2033.9702011060424</v>
      </c>
      <c r="W763" s="62">
        <v>0</v>
      </c>
      <c r="X763" s="63">
        <f t="shared" si="903"/>
        <v>0</v>
      </c>
      <c r="Y763" s="61">
        <v>1077.5681930618007</v>
      </c>
      <c r="Z763" s="61">
        <v>0</v>
      </c>
      <c r="AA763" s="61">
        <f t="shared" si="904"/>
        <v>2033.9702011060424</v>
      </c>
      <c r="AB763" s="61">
        <f t="shared" si="905"/>
        <v>406.79404022120849</v>
      </c>
      <c r="AC763" s="61">
        <v>2542.6980454117233</v>
      </c>
      <c r="AD763" s="61">
        <v>1631.8967589332165</v>
      </c>
      <c r="AE763" s="61">
        <v>965.04834945784535</v>
      </c>
      <c r="AF763" s="61">
        <v>0</v>
      </c>
      <c r="AG763" s="61">
        <f t="shared" si="906"/>
        <v>561.3757755052676</v>
      </c>
      <c r="AH763" s="64"/>
      <c r="AI763" s="64"/>
      <c r="AJ763" s="51">
        <v>95</v>
      </c>
      <c r="AK763" s="73" t="s">
        <v>42</v>
      </c>
      <c r="AL763" s="281">
        <v>16608</v>
      </c>
      <c r="AM763" s="73" t="s">
        <v>977</v>
      </c>
      <c r="AN763" s="72" t="s">
        <v>928</v>
      </c>
      <c r="AO763" s="65">
        <f t="shared" si="930"/>
        <v>146445.85447963505</v>
      </c>
      <c r="AP763" s="65">
        <f t="shared" si="930"/>
        <v>48815.284826545016</v>
      </c>
      <c r="AQ763" s="65">
        <f t="shared" si="931"/>
        <v>0</v>
      </c>
      <c r="AR763" s="65">
        <f t="shared" si="931"/>
        <v>12930.818316741608</v>
      </c>
      <c r="AS763" s="65">
        <f t="shared" si="931"/>
        <v>0</v>
      </c>
      <c r="AT763" s="65">
        <f t="shared" si="931"/>
        <v>24407.642413272508</v>
      </c>
      <c r="AU763" s="65">
        <f t="shared" si="931"/>
        <v>4881.5284826545021</v>
      </c>
      <c r="AV763" s="65">
        <f t="shared" si="931"/>
        <v>30512.376544940678</v>
      </c>
      <c r="AW763" s="65">
        <f t="shared" si="931"/>
        <v>19582.761107198596</v>
      </c>
      <c r="AX763" s="65">
        <f t="shared" si="931"/>
        <v>11580.580193494145</v>
      </c>
      <c r="AY763" s="65">
        <f t="shared" si="931"/>
        <v>0</v>
      </c>
      <c r="AZ763" s="65">
        <f t="shared" si="931"/>
        <v>6736.5093060632116</v>
      </c>
      <c r="BB763" s="64"/>
      <c r="BC763" s="66"/>
      <c r="BD763" s="66"/>
      <c r="BE763" s="66"/>
    </row>
    <row r="764" spans="1:177" ht="21" customHeight="1" x14ac:dyDescent="0.2">
      <c r="B764" s="51">
        <v>96</v>
      </c>
      <c r="C764" s="73" t="s">
        <v>42</v>
      </c>
      <c r="D764" s="67">
        <v>16640</v>
      </c>
      <c r="E764" s="206" t="s">
        <v>978</v>
      </c>
      <c r="F764" s="72" t="s">
        <v>928</v>
      </c>
      <c r="G764" s="55">
        <v>45324</v>
      </c>
      <c r="H764" s="56" t="str">
        <f t="shared" si="895"/>
        <v>0 AÑOS</v>
      </c>
      <c r="I764" s="57">
        <v>7822.9623119463167</v>
      </c>
      <c r="J764" s="58"/>
      <c r="K764" s="58"/>
      <c r="L764" s="59"/>
      <c r="M764" s="60">
        <v>4.0000000000000002E-4</v>
      </c>
      <c r="N764" s="61">
        <f t="shared" si="901"/>
        <v>312.91849247785268</v>
      </c>
      <c r="O764" s="58">
        <f t="shared" si="902"/>
        <v>8135.8808044241696</v>
      </c>
      <c r="P764" s="61">
        <f t="shared" si="880"/>
        <v>16271.761608848339</v>
      </c>
      <c r="Q764" s="61">
        <f t="shared" si="881"/>
        <v>12203.821206636254</v>
      </c>
      <c r="R764" s="61">
        <f t="shared" si="882"/>
        <v>4067.9404022120848</v>
      </c>
      <c r="S764" s="61">
        <f t="shared" si="883"/>
        <v>542.39205362827795</v>
      </c>
      <c r="T764" s="58">
        <f t="shared" si="884"/>
        <v>622.61183835990016</v>
      </c>
      <c r="U764" s="61">
        <f t="shared" si="885"/>
        <v>6101.910603318127</v>
      </c>
      <c r="V764" s="58">
        <f t="shared" si="886"/>
        <v>2033.9702011060424</v>
      </c>
      <c r="W764" s="62">
        <v>0</v>
      </c>
      <c r="X764" s="63">
        <f t="shared" si="903"/>
        <v>0</v>
      </c>
      <c r="Y764" s="61">
        <v>1077.5681930618007</v>
      </c>
      <c r="Z764" s="61">
        <v>0</v>
      </c>
      <c r="AA764" s="61">
        <f t="shared" si="904"/>
        <v>2033.9702011060424</v>
      </c>
      <c r="AB764" s="61">
        <f t="shared" si="905"/>
        <v>406.79404022120849</v>
      </c>
      <c r="AC764" s="61">
        <v>2542.6980454117233</v>
      </c>
      <c r="AD764" s="61">
        <v>1631.8967589332165</v>
      </c>
      <c r="AE764" s="61">
        <v>965.04834945784535</v>
      </c>
      <c r="AF764" s="61">
        <v>0</v>
      </c>
      <c r="AG764" s="61">
        <f t="shared" si="906"/>
        <v>561.3757755052676</v>
      </c>
      <c r="AH764" s="64"/>
      <c r="AI764" s="64"/>
      <c r="AJ764" s="51">
        <v>96</v>
      </c>
      <c r="AK764" s="73" t="s">
        <v>42</v>
      </c>
      <c r="AL764" s="67">
        <v>16640</v>
      </c>
      <c r="AM764" s="206" t="s">
        <v>978</v>
      </c>
      <c r="AN764" s="72" t="s">
        <v>928</v>
      </c>
      <c r="AO764" s="65">
        <f>Q764*11</f>
        <v>134242.03327299879</v>
      </c>
      <c r="AP764" s="65">
        <f>R764*11</f>
        <v>44747.344424332936</v>
      </c>
      <c r="AQ764" s="65">
        <f t="shared" ref="AQ764:AZ764" si="932">X764*11</f>
        <v>0</v>
      </c>
      <c r="AR764" s="65">
        <f t="shared" si="932"/>
        <v>11853.250123679807</v>
      </c>
      <c r="AS764" s="65">
        <f t="shared" si="932"/>
        <v>0</v>
      </c>
      <c r="AT764" s="65">
        <f t="shared" si="932"/>
        <v>22373.672212166468</v>
      </c>
      <c r="AU764" s="65">
        <f t="shared" si="932"/>
        <v>4474.7344424332932</v>
      </c>
      <c r="AV764" s="65">
        <f t="shared" si="932"/>
        <v>27969.678499528956</v>
      </c>
      <c r="AW764" s="65">
        <f t="shared" si="932"/>
        <v>17950.864348265382</v>
      </c>
      <c r="AX764" s="65">
        <f t="shared" si="932"/>
        <v>10615.531844036299</v>
      </c>
      <c r="AY764" s="65">
        <f t="shared" si="932"/>
        <v>0</v>
      </c>
      <c r="AZ764" s="65">
        <f t="shared" si="932"/>
        <v>6175.1335305579432</v>
      </c>
      <c r="BB764" s="64"/>
      <c r="BC764" s="66"/>
      <c r="BD764" s="66"/>
      <c r="BE764" s="66"/>
    </row>
    <row r="765" spans="1:177" ht="21" customHeight="1" x14ac:dyDescent="0.2">
      <c r="B765" s="51">
        <v>97</v>
      </c>
      <c r="C765" s="73" t="s">
        <v>42</v>
      </c>
      <c r="D765" s="67">
        <v>16462</v>
      </c>
      <c r="E765" s="212" t="s">
        <v>979</v>
      </c>
      <c r="F765" s="72" t="s">
        <v>928</v>
      </c>
      <c r="G765" s="55">
        <v>42826</v>
      </c>
      <c r="H765" s="56" t="str">
        <f t="shared" si="895"/>
        <v>7 AÑOS</v>
      </c>
      <c r="I765" s="57">
        <v>7822.9623119463167</v>
      </c>
      <c r="J765" s="58"/>
      <c r="K765" s="58"/>
      <c r="L765" s="59"/>
      <c r="M765" s="60">
        <v>4.0000000000000002E-4</v>
      </c>
      <c r="N765" s="61">
        <f t="shared" si="901"/>
        <v>312.91849247785268</v>
      </c>
      <c r="O765" s="58">
        <f t="shared" si="902"/>
        <v>8135.8808044241696</v>
      </c>
      <c r="P765" s="61">
        <f t="shared" si="880"/>
        <v>16271.761608848339</v>
      </c>
      <c r="Q765" s="61">
        <f t="shared" si="881"/>
        <v>12203.821206636254</v>
      </c>
      <c r="R765" s="61">
        <f t="shared" si="882"/>
        <v>4067.9404022120848</v>
      </c>
      <c r="S765" s="61">
        <f t="shared" si="883"/>
        <v>542.39205362827795</v>
      </c>
      <c r="T765" s="58">
        <f t="shared" si="884"/>
        <v>622.61183835990016</v>
      </c>
      <c r="U765" s="61">
        <f t="shared" si="885"/>
        <v>6101.910603318127</v>
      </c>
      <c r="V765" s="58">
        <f t="shared" si="886"/>
        <v>2033.9702011060424</v>
      </c>
      <c r="W765" s="62">
        <v>0</v>
      </c>
      <c r="X765" s="63">
        <f t="shared" si="903"/>
        <v>0</v>
      </c>
      <c r="Y765" s="61">
        <v>1077.5681930618007</v>
      </c>
      <c r="Z765" s="61">
        <v>0</v>
      </c>
      <c r="AA765" s="61">
        <f t="shared" si="904"/>
        <v>2033.9702011060424</v>
      </c>
      <c r="AB765" s="61">
        <f t="shared" si="905"/>
        <v>406.79404022120849</v>
      </c>
      <c r="AC765" s="61">
        <v>2542.6980454117233</v>
      </c>
      <c r="AD765" s="61">
        <v>1631.8967589332165</v>
      </c>
      <c r="AE765" s="61">
        <v>965.04834945784535</v>
      </c>
      <c r="AF765" s="61">
        <v>0</v>
      </c>
      <c r="AG765" s="61">
        <f t="shared" si="906"/>
        <v>561.3757755052676</v>
      </c>
      <c r="AH765" s="64"/>
      <c r="AI765" s="64"/>
      <c r="AJ765" s="51">
        <v>97</v>
      </c>
      <c r="AK765" s="73" t="s">
        <v>42</v>
      </c>
      <c r="AL765" s="67">
        <v>16462</v>
      </c>
      <c r="AM765" s="212" t="s">
        <v>979</v>
      </c>
      <c r="AN765" s="72" t="s">
        <v>928</v>
      </c>
      <c r="AO765" s="65">
        <f t="shared" ref="AO765:AO780" si="933">Q765*12</f>
        <v>146445.85447963505</v>
      </c>
      <c r="AP765" s="65">
        <f t="shared" ref="AP765:AP780" si="934">R765*12</f>
        <v>48815.284826545016</v>
      </c>
      <c r="AQ765" s="65">
        <f t="shared" ref="AQ765:AQ780" si="935">X765*12</f>
        <v>0</v>
      </c>
      <c r="AR765" s="65">
        <f t="shared" ref="AR765:AR780" si="936">Y765*12</f>
        <v>12930.818316741608</v>
      </c>
      <c r="AS765" s="65">
        <f t="shared" ref="AS765:AS780" si="937">Z765*12</f>
        <v>0</v>
      </c>
      <c r="AT765" s="65">
        <f t="shared" ref="AT765:AT780" si="938">AA765*12</f>
        <v>24407.642413272508</v>
      </c>
      <c r="AU765" s="65">
        <f t="shared" ref="AU765:AU780" si="939">AB765*12</f>
        <v>4881.5284826545021</v>
      </c>
      <c r="AV765" s="65">
        <f t="shared" ref="AV765:AV780" si="940">AC765*12</f>
        <v>30512.376544940678</v>
      </c>
      <c r="AW765" s="65">
        <f t="shared" ref="AW765:AW780" si="941">AD765*12</f>
        <v>19582.761107198596</v>
      </c>
      <c r="AX765" s="65">
        <f t="shared" ref="AX765:AX780" si="942">AE765*12</f>
        <v>11580.580193494145</v>
      </c>
      <c r="AY765" s="65">
        <f t="shared" ref="AY765:AY780" si="943">AF765*12</f>
        <v>0</v>
      </c>
      <c r="AZ765" s="65">
        <f t="shared" ref="AZ765:AZ780" si="944">AG765*12</f>
        <v>6736.5093060632116</v>
      </c>
      <c r="BB765" s="64"/>
      <c r="BC765" s="66"/>
      <c r="BD765" s="66"/>
      <c r="BE765" s="66"/>
    </row>
    <row r="766" spans="1:177" ht="21" customHeight="1" x14ac:dyDescent="0.2">
      <c r="B766" s="51">
        <v>98</v>
      </c>
      <c r="C766" s="73" t="s">
        <v>42</v>
      </c>
      <c r="D766" s="67">
        <v>16128</v>
      </c>
      <c r="E766" s="72" t="s">
        <v>980</v>
      </c>
      <c r="F766" s="72" t="s">
        <v>928</v>
      </c>
      <c r="G766" s="55">
        <v>37438</v>
      </c>
      <c r="H766" s="56" t="str">
        <f t="shared" si="895"/>
        <v>22 AÑOS</v>
      </c>
      <c r="I766" s="57">
        <v>7822.9623119463167</v>
      </c>
      <c r="J766" s="58"/>
      <c r="K766" s="58"/>
      <c r="L766" s="59"/>
      <c r="M766" s="60">
        <v>4.0000000000000002E-4</v>
      </c>
      <c r="N766" s="61">
        <f t="shared" si="901"/>
        <v>312.91849247785268</v>
      </c>
      <c r="O766" s="58">
        <f t="shared" si="902"/>
        <v>8135.8808044241696</v>
      </c>
      <c r="P766" s="61">
        <f t="shared" si="880"/>
        <v>16271.761608848339</v>
      </c>
      <c r="Q766" s="61">
        <f t="shared" si="881"/>
        <v>12203.821206636254</v>
      </c>
      <c r="R766" s="61">
        <f t="shared" si="882"/>
        <v>4067.9404022120848</v>
      </c>
      <c r="S766" s="61">
        <f t="shared" si="883"/>
        <v>542.39205362827795</v>
      </c>
      <c r="T766" s="58">
        <f t="shared" si="884"/>
        <v>622.61183835990016</v>
      </c>
      <c r="U766" s="61">
        <f t="shared" si="885"/>
        <v>6101.910603318127</v>
      </c>
      <c r="V766" s="58">
        <f t="shared" si="886"/>
        <v>2033.9702011060424</v>
      </c>
      <c r="W766" s="62">
        <v>0</v>
      </c>
      <c r="X766" s="63">
        <f t="shared" si="903"/>
        <v>0</v>
      </c>
      <c r="Y766" s="61">
        <v>1077.5681930618007</v>
      </c>
      <c r="Z766" s="61">
        <v>0</v>
      </c>
      <c r="AA766" s="61">
        <f t="shared" si="904"/>
        <v>2033.9702011060424</v>
      </c>
      <c r="AB766" s="61">
        <f t="shared" si="905"/>
        <v>406.79404022120849</v>
      </c>
      <c r="AC766" s="61">
        <v>2542.6980454117233</v>
      </c>
      <c r="AD766" s="61">
        <v>1631.8967589332165</v>
      </c>
      <c r="AE766" s="61">
        <v>965.04834945784535</v>
      </c>
      <c r="AF766" s="61">
        <v>0</v>
      </c>
      <c r="AG766" s="61">
        <f t="shared" si="906"/>
        <v>561.3757755052676</v>
      </c>
      <c r="AH766" s="64"/>
      <c r="AI766" s="64"/>
      <c r="AJ766" s="51">
        <v>98</v>
      </c>
      <c r="AK766" s="73" t="s">
        <v>42</v>
      </c>
      <c r="AL766" s="67">
        <v>16128</v>
      </c>
      <c r="AM766" s="72" t="s">
        <v>980</v>
      </c>
      <c r="AN766" s="72" t="s">
        <v>928</v>
      </c>
      <c r="AO766" s="65">
        <f t="shared" si="933"/>
        <v>146445.85447963505</v>
      </c>
      <c r="AP766" s="65">
        <f t="shared" si="934"/>
        <v>48815.284826545016</v>
      </c>
      <c r="AQ766" s="65">
        <f t="shared" si="935"/>
        <v>0</v>
      </c>
      <c r="AR766" s="65">
        <f t="shared" si="936"/>
        <v>12930.818316741608</v>
      </c>
      <c r="AS766" s="65">
        <f t="shared" si="937"/>
        <v>0</v>
      </c>
      <c r="AT766" s="65">
        <f t="shared" si="938"/>
        <v>24407.642413272508</v>
      </c>
      <c r="AU766" s="65">
        <f t="shared" si="939"/>
        <v>4881.5284826545021</v>
      </c>
      <c r="AV766" s="65">
        <f t="shared" si="940"/>
        <v>30512.376544940678</v>
      </c>
      <c r="AW766" s="65">
        <f t="shared" si="941"/>
        <v>19582.761107198596</v>
      </c>
      <c r="AX766" s="65">
        <f t="shared" si="942"/>
        <v>11580.580193494145</v>
      </c>
      <c r="AY766" s="65">
        <f t="shared" si="943"/>
        <v>0</v>
      </c>
      <c r="AZ766" s="65">
        <f t="shared" si="944"/>
        <v>6736.5093060632116</v>
      </c>
      <c r="BB766" s="64"/>
      <c r="BC766" s="66"/>
      <c r="BD766" s="66"/>
      <c r="BE766" s="66"/>
    </row>
    <row r="767" spans="1:177" ht="21" customHeight="1" x14ac:dyDescent="0.2">
      <c r="B767" s="51">
        <v>99</v>
      </c>
      <c r="C767" s="73" t="s">
        <v>42</v>
      </c>
      <c r="D767" s="67">
        <v>16476</v>
      </c>
      <c r="E767" s="72" t="s">
        <v>981</v>
      </c>
      <c r="F767" s="72" t="s">
        <v>928</v>
      </c>
      <c r="G767" s="55">
        <v>43101</v>
      </c>
      <c r="H767" s="56" t="str">
        <f t="shared" si="895"/>
        <v>6 AÑOS</v>
      </c>
      <c r="I767" s="57">
        <v>7822.9623119463167</v>
      </c>
      <c r="J767" s="58"/>
      <c r="K767" s="58"/>
      <c r="L767" s="59"/>
      <c r="M767" s="60">
        <v>4.0000000000000002E-4</v>
      </c>
      <c r="N767" s="61">
        <f t="shared" si="901"/>
        <v>312.91849247785268</v>
      </c>
      <c r="O767" s="58">
        <f t="shared" si="902"/>
        <v>8135.8808044241696</v>
      </c>
      <c r="P767" s="61">
        <f t="shared" si="880"/>
        <v>16271.761608848339</v>
      </c>
      <c r="Q767" s="61">
        <f t="shared" si="881"/>
        <v>12203.821206636254</v>
      </c>
      <c r="R767" s="61">
        <f t="shared" si="882"/>
        <v>4067.9404022120848</v>
      </c>
      <c r="S767" s="61">
        <f t="shared" si="883"/>
        <v>542.39205362827795</v>
      </c>
      <c r="T767" s="58">
        <f t="shared" si="884"/>
        <v>622.61183835990016</v>
      </c>
      <c r="U767" s="61">
        <f t="shared" si="885"/>
        <v>6101.910603318127</v>
      </c>
      <c r="V767" s="58">
        <f t="shared" si="886"/>
        <v>2033.9702011060424</v>
      </c>
      <c r="W767" s="62">
        <v>0</v>
      </c>
      <c r="X767" s="63">
        <f t="shared" si="903"/>
        <v>0</v>
      </c>
      <c r="Y767" s="61">
        <v>1077.5681930618007</v>
      </c>
      <c r="Z767" s="61">
        <v>0</v>
      </c>
      <c r="AA767" s="61">
        <f t="shared" si="904"/>
        <v>2033.9702011060424</v>
      </c>
      <c r="AB767" s="61">
        <f t="shared" si="905"/>
        <v>406.79404022120849</v>
      </c>
      <c r="AC767" s="61">
        <v>2542.6980454117233</v>
      </c>
      <c r="AD767" s="61">
        <v>1631.8967589332165</v>
      </c>
      <c r="AE767" s="61">
        <v>965.04834945784535</v>
      </c>
      <c r="AF767" s="61">
        <v>0</v>
      </c>
      <c r="AG767" s="61">
        <f t="shared" si="906"/>
        <v>561.3757755052676</v>
      </c>
      <c r="AH767" s="64"/>
      <c r="AI767" s="64"/>
      <c r="AJ767" s="51">
        <v>99</v>
      </c>
      <c r="AK767" s="73" t="s">
        <v>42</v>
      </c>
      <c r="AL767" s="67">
        <v>16476</v>
      </c>
      <c r="AM767" s="72" t="s">
        <v>981</v>
      </c>
      <c r="AN767" s="72" t="s">
        <v>928</v>
      </c>
      <c r="AO767" s="65">
        <f t="shared" si="933"/>
        <v>146445.85447963505</v>
      </c>
      <c r="AP767" s="65">
        <f t="shared" si="934"/>
        <v>48815.284826545016</v>
      </c>
      <c r="AQ767" s="65">
        <f t="shared" si="935"/>
        <v>0</v>
      </c>
      <c r="AR767" s="65">
        <f t="shared" si="936"/>
        <v>12930.818316741608</v>
      </c>
      <c r="AS767" s="65">
        <f t="shared" si="937"/>
        <v>0</v>
      </c>
      <c r="AT767" s="65">
        <f t="shared" si="938"/>
        <v>24407.642413272508</v>
      </c>
      <c r="AU767" s="65">
        <f t="shared" si="939"/>
        <v>4881.5284826545021</v>
      </c>
      <c r="AV767" s="65">
        <f t="shared" si="940"/>
        <v>30512.376544940678</v>
      </c>
      <c r="AW767" s="65">
        <f t="shared" si="941"/>
        <v>19582.761107198596</v>
      </c>
      <c r="AX767" s="65">
        <f t="shared" si="942"/>
        <v>11580.580193494145</v>
      </c>
      <c r="AY767" s="65">
        <f t="shared" si="943"/>
        <v>0</v>
      </c>
      <c r="AZ767" s="65">
        <f t="shared" si="944"/>
        <v>6736.5093060632116</v>
      </c>
      <c r="BB767" s="64"/>
      <c r="BC767" s="66"/>
      <c r="BD767" s="66"/>
      <c r="BE767" s="66"/>
    </row>
    <row r="768" spans="1:177" s="103" customFormat="1" ht="21" customHeight="1" x14ac:dyDescent="0.2">
      <c r="A768" s="50"/>
      <c r="B768" s="51">
        <v>100</v>
      </c>
      <c r="C768" s="73" t="s">
        <v>42</v>
      </c>
      <c r="D768" s="67">
        <v>16647</v>
      </c>
      <c r="E768" s="50" t="s">
        <v>982</v>
      </c>
      <c r="F768" s="72" t="s">
        <v>928</v>
      </c>
      <c r="G768" s="169">
        <v>45489</v>
      </c>
      <c r="H768" s="56" t="str">
        <f t="shared" si="895"/>
        <v>0 AÑOS</v>
      </c>
      <c r="I768" s="57">
        <v>7822.9623119463167</v>
      </c>
      <c r="J768" s="58"/>
      <c r="K768" s="58"/>
      <c r="L768" s="59"/>
      <c r="M768" s="60">
        <v>4.0000000000000002E-4</v>
      </c>
      <c r="N768" s="61">
        <f t="shared" si="901"/>
        <v>312.91849247785268</v>
      </c>
      <c r="O768" s="58">
        <f t="shared" si="902"/>
        <v>8135.8808044241696</v>
      </c>
      <c r="P768" s="61">
        <f t="shared" ref="P768:P809" si="945">O768*2</f>
        <v>16271.761608848339</v>
      </c>
      <c r="Q768" s="61">
        <f t="shared" ref="Q768:Q809" si="946">P768*0.75</f>
        <v>12203.821206636254</v>
      </c>
      <c r="R768" s="61">
        <f t="shared" ref="R768:R809" si="947">P768*0.25</f>
        <v>4067.9404022120848</v>
      </c>
      <c r="S768" s="61">
        <f t="shared" ref="S768:S809" si="948">(P768/30)</f>
        <v>542.39205362827795</v>
      </c>
      <c r="T768" s="58">
        <f t="shared" ref="T768:T809" si="949">S768*1.1479</f>
        <v>622.61183835990016</v>
      </c>
      <c r="U768" s="61">
        <f t="shared" ref="U768:U809" si="950">O768*0.75</f>
        <v>6101.910603318127</v>
      </c>
      <c r="V768" s="58">
        <f t="shared" ref="V768:V809" si="951">O768*0.25</f>
        <v>2033.9702011060424</v>
      </c>
      <c r="W768" s="62">
        <v>0</v>
      </c>
      <c r="X768" s="63">
        <f t="shared" si="903"/>
        <v>0</v>
      </c>
      <c r="Y768" s="61">
        <v>1077.5681930618007</v>
      </c>
      <c r="Z768" s="61">
        <v>0</v>
      </c>
      <c r="AA768" s="61">
        <f t="shared" si="904"/>
        <v>2033.9702011060424</v>
      </c>
      <c r="AB768" s="61">
        <f t="shared" si="905"/>
        <v>406.79404022120849</v>
      </c>
      <c r="AC768" s="61">
        <v>2542.6980454117233</v>
      </c>
      <c r="AD768" s="61">
        <v>1631.8967589332165</v>
      </c>
      <c r="AE768" s="61">
        <v>965.04834945784535</v>
      </c>
      <c r="AF768" s="61">
        <v>0</v>
      </c>
      <c r="AG768" s="61">
        <f t="shared" si="906"/>
        <v>561.3757755052676</v>
      </c>
      <c r="AH768" s="64"/>
      <c r="AI768" s="64"/>
      <c r="AJ768" s="51">
        <v>100</v>
      </c>
      <c r="AK768" s="73" t="s">
        <v>42</v>
      </c>
      <c r="AL768" s="67">
        <v>16647</v>
      </c>
      <c r="AM768" s="50" t="s">
        <v>982</v>
      </c>
      <c r="AN768" s="72" t="s">
        <v>928</v>
      </c>
      <c r="AO768" s="65">
        <f t="shared" si="933"/>
        <v>146445.85447963505</v>
      </c>
      <c r="AP768" s="65">
        <f t="shared" si="934"/>
        <v>48815.284826545016</v>
      </c>
      <c r="AQ768" s="65">
        <f t="shared" si="935"/>
        <v>0</v>
      </c>
      <c r="AR768" s="65">
        <f t="shared" si="936"/>
        <v>12930.818316741608</v>
      </c>
      <c r="AS768" s="65">
        <f t="shared" si="937"/>
        <v>0</v>
      </c>
      <c r="AT768" s="65">
        <f t="shared" si="938"/>
        <v>24407.642413272508</v>
      </c>
      <c r="AU768" s="65">
        <f t="shared" si="939"/>
        <v>4881.5284826545021</v>
      </c>
      <c r="AV768" s="65">
        <f t="shared" si="940"/>
        <v>30512.376544940678</v>
      </c>
      <c r="AW768" s="65">
        <f t="shared" si="941"/>
        <v>19582.761107198596</v>
      </c>
      <c r="AX768" s="65">
        <f t="shared" si="942"/>
        <v>11580.580193494145</v>
      </c>
      <c r="AY768" s="65">
        <f t="shared" si="943"/>
        <v>0</v>
      </c>
      <c r="AZ768" s="65">
        <f t="shared" si="944"/>
        <v>6736.5093060632116</v>
      </c>
      <c r="BA768" s="50"/>
      <c r="BB768" s="64"/>
      <c r="BC768" s="66"/>
      <c r="BD768" s="66"/>
      <c r="BE768" s="66"/>
      <c r="BF768" s="50"/>
      <c r="BG768" s="50"/>
      <c r="BH768" s="50"/>
      <c r="BI768" s="50"/>
      <c r="BJ768" s="50"/>
      <c r="BK768" s="50"/>
      <c r="BL768" s="50"/>
      <c r="BM768" s="50"/>
      <c r="BN768" s="50"/>
      <c r="BO768" s="50"/>
      <c r="BP768" s="50"/>
      <c r="BQ768" s="50"/>
      <c r="BR768" s="50"/>
      <c r="BS768" s="50"/>
      <c r="BT768" s="50"/>
      <c r="BU768" s="50"/>
      <c r="BV768" s="50"/>
      <c r="BW768" s="50"/>
      <c r="BX768" s="50"/>
      <c r="BY768" s="50"/>
      <c r="BZ768" s="50"/>
      <c r="CA768" s="50"/>
      <c r="CB768" s="50"/>
      <c r="CC768" s="50"/>
      <c r="CD768" s="50"/>
      <c r="CE768" s="50"/>
      <c r="CF768" s="50"/>
      <c r="CG768" s="50"/>
      <c r="CH768" s="50"/>
      <c r="CI768" s="50"/>
      <c r="CJ768" s="50"/>
      <c r="CK768" s="50"/>
      <c r="CL768" s="50"/>
      <c r="CM768" s="50"/>
      <c r="CN768" s="50"/>
      <c r="CO768" s="50"/>
      <c r="CP768" s="50"/>
      <c r="CQ768" s="50"/>
      <c r="CR768" s="50"/>
      <c r="CS768" s="50"/>
      <c r="CT768" s="50"/>
      <c r="CU768" s="50"/>
      <c r="CV768" s="50"/>
      <c r="CW768" s="50"/>
      <c r="CX768" s="50"/>
      <c r="CY768" s="50"/>
      <c r="CZ768" s="50"/>
      <c r="DA768" s="50"/>
      <c r="DB768" s="50"/>
      <c r="DC768" s="50"/>
      <c r="DD768" s="50"/>
      <c r="DE768" s="50"/>
      <c r="DF768" s="50"/>
      <c r="DG768" s="50"/>
      <c r="DH768" s="50"/>
      <c r="DI768" s="50"/>
      <c r="DJ768" s="50"/>
      <c r="DK768" s="50"/>
      <c r="DL768" s="50"/>
      <c r="DM768" s="50"/>
      <c r="DN768" s="50"/>
      <c r="DO768" s="50"/>
      <c r="DP768" s="50"/>
      <c r="DQ768" s="50"/>
      <c r="DR768" s="50"/>
      <c r="DS768" s="50"/>
      <c r="DT768" s="50"/>
      <c r="DU768" s="50"/>
      <c r="DV768" s="50"/>
      <c r="DW768" s="50"/>
      <c r="DX768" s="50"/>
      <c r="DY768" s="50"/>
      <c r="DZ768" s="50"/>
      <c r="EA768" s="50"/>
      <c r="EB768" s="50"/>
      <c r="EC768" s="50"/>
      <c r="ED768" s="50"/>
      <c r="EE768" s="50"/>
      <c r="EF768" s="50"/>
      <c r="EG768" s="50"/>
      <c r="EH768" s="50"/>
      <c r="EI768" s="50"/>
      <c r="EJ768" s="50"/>
      <c r="EK768" s="50"/>
      <c r="EL768" s="50"/>
      <c r="EM768" s="50"/>
      <c r="EN768" s="50"/>
      <c r="EO768" s="50"/>
      <c r="EP768" s="50"/>
      <c r="EQ768" s="50"/>
      <c r="ER768" s="50"/>
      <c r="ES768" s="50"/>
      <c r="ET768" s="50"/>
      <c r="EU768" s="50"/>
      <c r="EV768" s="50"/>
      <c r="EW768" s="50"/>
      <c r="EX768" s="50"/>
      <c r="EY768" s="50"/>
      <c r="EZ768" s="50"/>
      <c r="FA768" s="50"/>
      <c r="FB768" s="50"/>
      <c r="FC768" s="50"/>
      <c r="FD768" s="50"/>
      <c r="FE768" s="50"/>
      <c r="FF768" s="50"/>
      <c r="FG768" s="50"/>
      <c r="FH768" s="50"/>
      <c r="FI768" s="50"/>
      <c r="FJ768" s="50"/>
      <c r="FK768" s="50"/>
      <c r="FL768" s="50"/>
      <c r="FM768" s="50"/>
      <c r="FN768" s="50"/>
      <c r="FO768" s="50"/>
      <c r="FP768" s="50"/>
      <c r="FQ768" s="50"/>
      <c r="FR768" s="50"/>
      <c r="FS768" s="50"/>
      <c r="FT768" s="50"/>
      <c r="FU768" s="50"/>
    </row>
    <row r="769" spans="1:177" s="103" customFormat="1" ht="21" customHeight="1" x14ac:dyDescent="0.2">
      <c r="A769" s="50"/>
      <c r="B769" s="51">
        <v>101</v>
      </c>
      <c r="C769" s="73" t="s">
        <v>42</v>
      </c>
      <c r="D769" s="67">
        <v>16625</v>
      </c>
      <c r="E769" s="72" t="s">
        <v>983</v>
      </c>
      <c r="F769" s="72" t="s">
        <v>928</v>
      </c>
      <c r="G769" s="169">
        <v>45001</v>
      </c>
      <c r="H769" s="55" t="str">
        <f t="shared" si="895"/>
        <v>1 AÑOS</v>
      </c>
      <c r="I769" s="57">
        <v>7822.9623119463167</v>
      </c>
      <c r="J769" s="57"/>
      <c r="K769" s="57"/>
      <c r="L769" s="74"/>
      <c r="M769" s="171">
        <v>4.0000000000000002E-4</v>
      </c>
      <c r="N769" s="81">
        <f t="shared" si="901"/>
        <v>312.91849247785268</v>
      </c>
      <c r="O769" s="57">
        <f t="shared" si="902"/>
        <v>8135.8808044241696</v>
      </c>
      <c r="P769" s="81">
        <f t="shared" si="945"/>
        <v>16271.761608848339</v>
      </c>
      <c r="Q769" s="61">
        <f t="shared" si="946"/>
        <v>12203.821206636254</v>
      </c>
      <c r="R769" s="61">
        <f t="shared" si="947"/>
        <v>4067.9404022120848</v>
      </c>
      <c r="S769" s="61">
        <f t="shared" si="948"/>
        <v>542.39205362827795</v>
      </c>
      <c r="T769" s="58">
        <f t="shared" si="949"/>
        <v>622.61183835990016</v>
      </c>
      <c r="U769" s="61">
        <f t="shared" si="950"/>
        <v>6101.910603318127</v>
      </c>
      <c r="V769" s="58">
        <f t="shared" si="951"/>
        <v>2033.9702011060424</v>
      </c>
      <c r="W769" s="62">
        <v>0</v>
      </c>
      <c r="X769" s="63">
        <f t="shared" si="903"/>
        <v>0</v>
      </c>
      <c r="Y769" s="61">
        <v>1077.5681930618007</v>
      </c>
      <c r="Z769" s="61">
        <v>0</v>
      </c>
      <c r="AA769" s="61">
        <f t="shared" si="904"/>
        <v>2033.9702011060424</v>
      </c>
      <c r="AB769" s="61">
        <f t="shared" si="905"/>
        <v>406.79404022120849</v>
      </c>
      <c r="AC769" s="61">
        <v>2542.6980454117233</v>
      </c>
      <c r="AD769" s="61">
        <v>1631.8967589332165</v>
      </c>
      <c r="AE769" s="61">
        <v>965.04834945784535</v>
      </c>
      <c r="AF769" s="61">
        <v>0</v>
      </c>
      <c r="AG769" s="61">
        <f t="shared" si="906"/>
        <v>561.3757755052676</v>
      </c>
      <c r="AH769" s="64"/>
      <c r="AI769" s="64"/>
      <c r="AJ769" s="51">
        <v>101</v>
      </c>
      <c r="AK769" s="73" t="s">
        <v>42</v>
      </c>
      <c r="AL769" s="67">
        <v>16625</v>
      </c>
      <c r="AM769" s="72" t="s">
        <v>983</v>
      </c>
      <c r="AN769" s="72" t="s">
        <v>928</v>
      </c>
      <c r="AO769" s="65">
        <f t="shared" si="933"/>
        <v>146445.85447963505</v>
      </c>
      <c r="AP769" s="65">
        <f t="shared" si="934"/>
        <v>48815.284826545016</v>
      </c>
      <c r="AQ769" s="65">
        <f t="shared" si="935"/>
        <v>0</v>
      </c>
      <c r="AR769" s="65">
        <f t="shared" si="936"/>
        <v>12930.818316741608</v>
      </c>
      <c r="AS769" s="65">
        <f t="shared" si="937"/>
        <v>0</v>
      </c>
      <c r="AT769" s="65">
        <f t="shared" si="938"/>
        <v>24407.642413272508</v>
      </c>
      <c r="AU769" s="65">
        <f t="shared" si="939"/>
        <v>4881.5284826545021</v>
      </c>
      <c r="AV769" s="65">
        <f t="shared" si="940"/>
        <v>30512.376544940678</v>
      </c>
      <c r="AW769" s="65">
        <f t="shared" si="941"/>
        <v>19582.761107198596</v>
      </c>
      <c r="AX769" s="65">
        <f t="shared" si="942"/>
        <v>11580.580193494145</v>
      </c>
      <c r="AY769" s="65">
        <f t="shared" si="943"/>
        <v>0</v>
      </c>
      <c r="AZ769" s="65">
        <f t="shared" si="944"/>
        <v>6736.5093060632116</v>
      </c>
      <c r="BA769" s="50"/>
      <c r="BB769" s="64"/>
      <c r="BC769" s="66"/>
      <c r="BD769" s="66"/>
      <c r="BE769" s="66"/>
      <c r="BF769" s="50"/>
      <c r="BG769" s="50"/>
      <c r="BH769" s="50"/>
      <c r="BI769" s="50"/>
      <c r="BJ769" s="50"/>
      <c r="BK769" s="50"/>
      <c r="BL769" s="50"/>
      <c r="BM769" s="50"/>
      <c r="BN769" s="50"/>
      <c r="BO769" s="50"/>
      <c r="BP769" s="50"/>
      <c r="BQ769" s="50"/>
      <c r="BR769" s="50"/>
      <c r="BS769" s="50"/>
      <c r="BT769" s="50"/>
      <c r="BU769" s="50"/>
      <c r="BV769" s="50"/>
      <c r="BW769" s="50"/>
      <c r="BX769" s="50"/>
      <c r="BY769" s="50"/>
      <c r="BZ769" s="50"/>
      <c r="CA769" s="50"/>
      <c r="CB769" s="50"/>
      <c r="CC769" s="50"/>
      <c r="CD769" s="50"/>
      <c r="CE769" s="50"/>
      <c r="CF769" s="50"/>
      <c r="CG769" s="50"/>
      <c r="CH769" s="50"/>
      <c r="CI769" s="50"/>
      <c r="CJ769" s="50"/>
      <c r="CK769" s="50"/>
      <c r="CL769" s="50"/>
      <c r="CM769" s="50"/>
      <c r="CN769" s="50"/>
      <c r="CO769" s="50"/>
      <c r="CP769" s="50"/>
      <c r="CQ769" s="50"/>
      <c r="CR769" s="50"/>
      <c r="CS769" s="50"/>
      <c r="CT769" s="50"/>
      <c r="CU769" s="50"/>
      <c r="CV769" s="50"/>
      <c r="CW769" s="50"/>
      <c r="CX769" s="50"/>
      <c r="CY769" s="50"/>
      <c r="CZ769" s="50"/>
      <c r="DA769" s="50"/>
      <c r="DB769" s="50"/>
      <c r="DC769" s="50"/>
      <c r="DD769" s="50"/>
      <c r="DE769" s="50"/>
      <c r="DF769" s="50"/>
      <c r="DG769" s="50"/>
      <c r="DH769" s="50"/>
      <c r="DI769" s="50"/>
      <c r="DJ769" s="50"/>
      <c r="DK769" s="50"/>
      <c r="DL769" s="50"/>
      <c r="DM769" s="50"/>
      <c r="DN769" s="50"/>
      <c r="DO769" s="50"/>
      <c r="DP769" s="50"/>
      <c r="DQ769" s="50"/>
      <c r="DR769" s="50"/>
      <c r="DS769" s="50"/>
      <c r="DT769" s="50"/>
      <c r="DU769" s="50"/>
      <c r="DV769" s="50"/>
      <c r="DW769" s="50"/>
      <c r="DX769" s="50"/>
      <c r="DY769" s="50"/>
      <c r="DZ769" s="50"/>
      <c r="EA769" s="50"/>
      <c r="EB769" s="50"/>
      <c r="EC769" s="50"/>
      <c r="ED769" s="50"/>
      <c r="EE769" s="50"/>
      <c r="EF769" s="50"/>
      <c r="EG769" s="50"/>
      <c r="EH769" s="50"/>
      <c r="EI769" s="50"/>
      <c r="EJ769" s="50"/>
      <c r="EK769" s="50"/>
      <c r="EL769" s="50"/>
      <c r="EM769" s="50"/>
      <c r="EN769" s="50"/>
      <c r="EO769" s="50"/>
      <c r="EP769" s="50"/>
      <c r="EQ769" s="50"/>
      <c r="ER769" s="50"/>
      <c r="ES769" s="50"/>
      <c r="ET769" s="50"/>
      <c r="EU769" s="50"/>
      <c r="EV769" s="50"/>
      <c r="EW769" s="50"/>
      <c r="EX769" s="50"/>
      <c r="EY769" s="50"/>
      <c r="EZ769" s="50"/>
      <c r="FA769" s="50"/>
      <c r="FB769" s="50"/>
      <c r="FC769" s="50"/>
      <c r="FD769" s="50"/>
      <c r="FE769" s="50"/>
      <c r="FF769" s="50"/>
      <c r="FG769" s="50"/>
      <c r="FH769" s="50"/>
      <c r="FI769" s="50"/>
      <c r="FJ769" s="50"/>
      <c r="FK769" s="50"/>
      <c r="FL769" s="50"/>
      <c r="FM769" s="50"/>
      <c r="FN769" s="50"/>
      <c r="FO769" s="50"/>
      <c r="FP769" s="50"/>
      <c r="FQ769" s="50"/>
      <c r="FR769" s="50"/>
      <c r="FS769" s="50"/>
      <c r="FT769" s="50"/>
      <c r="FU769" s="50"/>
    </row>
    <row r="770" spans="1:177" s="103" customFormat="1" ht="21" customHeight="1" x14ac:dyDescent="0.2">
      <c r="A770" s="50"/>
      <c r="B770" s="51">
        <v>102</v>
      </c>
      <c r="C770" s="73" t="s">
        <v>42</v>
      </c>
      <c r="D770" s="67">
        <v>16509</v>
      </c>
      <c r="E770" s="72" t="s">
        <v>984</v>
      </c>
      <c r="F770" s="72" t="s">
        <v>928</v>
      </c>
      <c r="G770" s="169">
        <v>44875</v>
      </c>
      <c r="H770" s="55" t="str">
        <f t="shared" si="895"/>
        <v>2 AÑOS</v>
      </c>
      <c r="I770" s="57">
        <v>7822.9623119463167</v>
      </c>
      <c r="J770" s="57"/>
      <c r="K770" s="57"/>
      <c r="L770" s="74"/>
      <c r="M770" s="171">
        <v>4.0000000000000002E-4</v>
      </c>
      <c r="N770" s="81">
        <f t="shared" si="901"/>
        <v>312.91849247785268</v>
      </c>
      <c r="O770" s="57">
        <f t="shared" si="902"/>
        <v>8135.8808044241696</v>
      </c>
      <c r="P770" s="81">
        <f t="shared" si="945"/>
        <v>16271.761608848339</v>
      </c>
      <c r="Q770" s="81">
        <f t="shared" si="946"/>
        <v>12203.821206636254</v>
      </c>
      <c r="R770" s="81">
        <f t="shared" si="947"/>
        <v>4067.9404022120848</v>
      </c>
      <c r="S770" s="81">
        <f t="shared" si="948"/>
        <v>542.39205362827795</v>
      </c>
      <c r="T770" s="57">
        <f t="shared" si="949"/>
        <v>622.61183835990016</v>
      </c>
      <c r="U770" s="81">
        <f t="shared" si="950"/>
        <v>6101.910603318127</v>
      </c>
      <c r="V770" s="57">
        <f t="shared" si="951"/>
        <v>2033.9702011060424</v>
      </c>
      <c r="W770" s="101">
        <v>0</v>
      </c>
      <c r="X770" s="158">
        <f t="shared" si="903"/>
        <v>0</v>
      </c>
      <c r="Y770" s="81">
        <v>1077.5681930618007</v>
      </c>
      <c r="Z770" s="81">
        <v>0</v>
      </c>
      <c r="AA770" s="81">
        <f t="shared" si="904"/>
        <v>2033.9702011060424</v>
      </c>
      <c r="AB770" s="81">
        <f t="shared" si="905"/>
        <v>406.79404022120849</v>
      </c>
      <c r="AC770" s="81">
        <v>2542.6980454117233</v>
      </c>
      <c r="AD770" s="81">
        <v>1631.8967589332165</v>
      </c>
      <c r="AE770" s="81">
        <v>965.04834945784535</v>
      </c>
      <c r="AF770" s="81">
        <v>0</v>
      </c>
      <c r="AG770" s="81">
        <f t="shared" si="906"/>
        <v>561.3757755052676</v>
      </c>
      <c r="AH770" s="64"/>
      <c r="AI770" s="64"/>
      <c r="AJ770" s="51">
        <v>102</v>
      </c>
      <c r="AK770" s="73" t="s">
        <v>42</v>
      </c>
      <c r="AL770" s="67">
        <v>16509</v>
      </c>
      <c r="AM770" s="72" t="s">
        <v>984</v>
      </c>
      <c r="AN770" s="72" t="s">
        <v>928</v>
      </c>
      <c r="AO770" s="159">
        <f t="shared" si="933"/>
        <v>146445.85447963505</v>
      </c>
      <c r="AP770" s="159">
        <f t="shared" si="934"/>
        <v>48815.284826545016</v>
      </c>
      <c r="AQ770" s="159">
        <f t="shared" si="935"/>
        <v>0</v>
      </c>
      <c r="AR770" s="159">
        <f t="shared" si="936"/>
        <v>12930.818316741608</v>
      </c>
      <c r="AS770" s="159">
        <f t="shared" si="937"/>
        <v>0</v>
      </c>
      <c r="AT770" s="159">
        <f t="shared" si="938"/>
        <v>24407.642413272508</v>
      </c>
      <c r="AU770" s="159">
        <f t="shared" si="939"/>
        <v>4881.5284826545021</v>
      </c>
      <c r="AV770" s="159">
        <f t="shared" si="940"/>
        <v>30512.376544940678</v>
      </c>
      <c r="AW770" s="159">
        <f t="shared" si="941"/>
        <v>19582.761107198596</v>
      </c>
      <c r="AX770" s="159">
        <f t="shared" si="942"/>
        <v>11580.580193494145</v>
      </c>
      <c r="AY770" s="159">
        <f t="shared" si="943"/>
        <v>0</v>
      </c>
      <c r="AZ770" s="159">
        <f t="shared" si="944"/>
        <v>6736.5093060632116</v>
      </c>
      <c r="BA770" s="50"/>
      <c r="BB770" s="64"/>
      <c r="BC770" s="66"/>
      <c r="BD770" s="66"/>
      <c r="BE770" s="66"/>
      <c r="BF770" s="50"/>
      <c r="BG770" s="50"/>
      <c r="BH770" s="50"/>
      <c r="BI770" s="50"/>
      <c r="BJ770" s="50"/>
      <c r="BK770" s="50"/>
      <c r="BL770" s="50"/>
      <c r="BM770" s="50"/>
      <c r="BN770" s="50"/>
      <c r="BO770" s="50"/>
      <c r="BP770" s="50"/>
      <c r="BQ770" s="50"/>
      <c r="BR770" s="50"/>
      <c r="BS770" s="50"/>
      <c r="BT770" s="50"/>
      <c r="BU770" s="50"/>
      <c r="BV770" s="50"/>
      <c r="BW770" s="50"/>
      <c r="BX770" s="50"/>
      <c r="BY770" s="50"/>
      <c r="BZ770" s="50"/>
      <c r="CA770" s="50"/>
      <c r="CB770" s="50"/>
      <c r="CC770" s="50"/>
      <c r="CD770" s="50"/>
      <c r="CE770" s="50"/>
      <c r="CF770" s="50"/>
      <c r="CG770" s="50"/>
      <c r="CH770" s="50"/>
      <c r="CI770" s="50"/>
      <c r="CJ770" s="50"/>
      <c r="CK770" s="50"/>
      <c r="CL770" s="50"/>
      <c r="CM770" s="50"/>
      <c r="CN770" s="50"/>
      <c r="CO770" s="50"/>
      <c r="CP770" s="50"/>
      <c r="CQ770" s="50"/>
      <c r="CR770" s="50"/>
      <c r="CS770" s="50"/>
      <c r="CT770" s="50"/>
      <c r="CU770" s="50"/>
      <c r="CV770" s="50"/>
      <c r="CW770" s="50"/>
      <c r="CX770" s="50"/>
      <c r="CY770" s="50"/>
      <c r="CZ770" s="50"/>
      <c r="DA770" s="50"/>
      <c r="DB770" s="50"/>
      <c r="DC770" s="50"/>
      <c r="DD770" s="50"/>
      <c r="DE770" s="50"/>
      <c r="DF770" s="50"/>
      <c r="DG770" s="50"/>
      <c r="DH770" s="50"/>
      <c r="DI770" s="50"/>
      <c r="DJ770" s="50"/>
      <c r="DK770" s="50"/>
      <c r="DL770" s="50"/>
      <c r="DM770" s="50"/>
      <c r="DN770" s="50"/>
      <c r="DO770" s="50"/>
      <c r="DP770" s="50"/>
      <c r="DQ770" s="50"/>
      <c r="DR770" s="50"/>
      <c r="DS770" s="50"/>
      <c r="DT770" s="50"/>
      <c r="DU770" s="50"/>
      <c r="DV770" s="50"/>
      <c r="DW770" s="50"/>
      <c r="DX770" s="50"/>
      <c r="DY770" s="50"/>
      <c r="DZ770" s="50"/>
      <c r="EA770" s="50"/>
      <c r="EB770" s="50"/>
      <c r="EC770" s="50"/>
      <c r="ED770" s="50"/>
      <c r="EE770" s="50"/>
      <c r="EF770" s="50"/>
      <c r="EG770" s="50"/>
      <c r="EH770" s="50"/>
      <c r="EI770" s="50"/>
      <c r="EJ770" s="50"/>
      <c r="EK770" s="50"/>
      <c r="EL770" s="50"/>
      <c r="EM770" s="50"/>
      <c r="EN770" s="50"/>
      <c r="EO770" s="50"/>
      <c r="EP770" s="50"/>
      <c r="EQ770" s="50"/>
      <c r="ER770" s="50"/>
      <c r="ES770" s="50"/>
      <c r="ET770" s="50"/>
      <c r="EU770" s="50"/>
      <c r="EV770" s="50"/>
      <c r="EW770" s="50"/>
      <c r="EX770" s="50"/>
      <c r="EY770" s="50"/>
      <c r="EZ770" s="50"/>
      <c r="FA770" s="50"/>
      <c r="FB770" s="50"/>
      <c r="FC770" s="50"/>
      <c r="FD770" s="50"/>
      <c r="FE770" s="50"/>
      <c r="FF770" s="50"/>
      <c r="FG770" s="50"/>
      <c r="FH770" s="50"/>
      <c r="FI770" s="50"/>
      <c r="FJ770" s="50"/>
      <c r="FK770" s="50"/>
      <c r="FL770" s="50"/>
      <c r="FM770" s="50"/>
      <c r="FN770" s="50"/>
      <c r="FO770" s="50"/>
      <c r="FP770" s="50"/>
      <c r="FQ770" s="50"/>
      <c r="FR770" s="50"/>
      <c r="FS770" s="50"/>
      <c r="FT770" s="50"/>
      <c r="FU770" s="50"/>
    </row>
    <row r="771" spans="1:177" s="103" customFormat="1" ht="21" customHeight="1" x14ac:dyDescent="0.2">
      <c r="A771" s="50"/>
      <c r="B771" s="51">
        <v>103</v>
      </c>
      <c r="C771" s="73" t="s">
        <v>42</v>
      </c>
      <c r="D771" s="67">
        <v>19025</v>
      </c>
      <c r="E771" s="72" t="s">
        <v>985</v>
      </c>
      <c r="F771" s="72" t="s">
        <v>928</v>
      </c>
      <c r="G771" s="169">
        <v>40909</v>
      </c>
      <c r="H771" s="55" t="str">
        <f t="shared" si="895"/>
        <v>12 AÑOS</v>
      </c>
      <c r="I771" s="57">
        <v>7822.9623119463167</v>
      </c>
      <c r="J771" s="57"/>
      <c r="K771" s="57"/>
      <c r="L771" s="74"/>
      <c r="M771" s="171">
        <v>4.0000000000000002E-4</v>
      </c>
      <c r="N771" s="81">
        <f t="shared" si="901"/>
        <v>312.91849247785268</v>
      </c>
      <c r="O771" s="57">
        <f t="shared" si="902"/>
        <v>8135.8808044241696</v>
      </c>
      <c r="P771" s="81">
        <f t="shared" si="945"/>
        <v>16271.761608848339</v>
      </c>
      <c r="Q771" s="81">
        <f t="shared" si="946"/>
        <v>12203.821206636254</v>
      </c>
      <c r="R771" s="81">
        <f t="shared" si="947"/>
        <v>4067.9404022120848</v>
      </c>
      <c r="S771" s="81">
        <f t="shared" si="948"/>
        <v>542.39205362827795</v>
      </c>
      <c r="T771" s="57">
        <f t="shared" si="949"/>
        <v>622.61183835990016</v>
      </c>
      <c r="U771" s="81">
        <f t="shared" si="950"/>
        <v>6101.910603318127</v>
      </c>
      <c r="V771" s="57">
        <f t="shared" si="951"/>
        <v>2033.9702011060424</v>
      </c>
      <c r="W771" s="101">
        <v>0</v>
      </c>
      <c r="X771" s="158">
        <f t="shared" si="903"/>
        <v>0</v>
      </c>
      <c r="Y771" s="81">
        <v>1077.5681930618007</v>
      </c>
      <c r="Z771" s="81">
        <v>0</v>
      </c>
      <c r="AA771" s="81">
        <f t="shared" si="904"/>
        <v>2033.9702011060424</v>
      </c>
      <c r="AB771" s="81">
        <f t="shared" si="905"/>
        <v>406.79404022120849</v>
      </c>
      <c r="AC771" s="81">
        <v>2542.6980454117233</v>
      </c>
      <c r="AD771" s="81">
        <v>1631.8967589332165</v>
      </c>
      <c r="AE771" s="81">
        <v>965.04834945784535</v>
      </c>
      <c r="AF771" s="81">
        <v>0</v>
      </c>
      <c r="AG771" s="81">
        <f t="shared" si="906"/>
        <v>561.3757755052676</v>
      </c>
      <c r="AH771" s="64"/>
      <c r="AI771" s="64"/>
      <c r="AJ771" s="51">
        <v>103</v>
      </c>
      <c r="AK771" s="73" t="s">
        <v>42</v>
      </c>
      <c r="AL771" s="67">
        <v>19025</v>
      </c>
      <c r="AM771" s="72" t="s">
        <v>985</v>
      </c>
      <c r="AN771" s="72" t="s">
        <v>928</v>
      </c>
      <c r="AO771" s="159">
        <f t="shared" si="933"/>
        <v>146445.85447963505</v>
      </c>
      <c r="AP771" s="159">
        <f t="shared" si="934"/>
        <v>48815.284826545016</v>
      </c>
      <c r="AQ771" s="159">
        <f t="shared" si="935"/>
        <v>0</v>
      </c>
      <c r="AR771" s="159">
        <f t="shared" si="936"/>
        <v>12930.818316741608</v>
      </c>
      <c r="AS771" s="159">
        <f t="shared" si="937"/>
        <v>0</v>
      </c>
      <c r="AT771" s="159">
        <f t="shared" si="938"/>
        <v>24407.642413272508</v>
      </c>
      <c r="AU771" s="159">
        <f t="shared" si="939"/>
        <v>4881.5284826545021</v>
      </c>
      <c r="AV771" s="159">
        <f t="shared" si="940"/>
        <v>30512.376544940678</v>
      </c>
      <c r="AW771" s="159">
        <f t="shared" si="941"/>
        <v>19582.761107198596</v>
      </c>
      <c r="AX771" s="159">
        <f t="shared" si="942"/>
        <v>11580.580193494145</v>
      </c>
      <c r="AY771" s="159">
        <f t="shared" si="943"/>
        <v>0</v>
      </c>
      <c r="AZ771" s="159">
        <f t="shared" si="944"/>
        <v>6736.5093060632116</v>
      </c>
      <c r="BA771" s="50"/>
      <c r="BB771" s="64"/>
      <c r="BC771" s="66"/>
      <c r="BD771" s="66"/>
      <c r="BE771" s="66"/>
      <c r="BF771" s="50"/>
      <c r="BG771" s="50"/>
      <c r="BH771" s="50"/>
      <c r="BI771" s="50"/>
      <c r="BJ771" s="50"/>
      <c r="BK771" s="50"/>
      <c r="BL771" s="50"/>
      <c r="BM771" s="50"/>
      <c r="BN771" s="50"/>
      <c r="BO771" s="50"/>
      <c r="BP771" s="50"/>
      <c r="BQ771" s="50"/>
      <c r="BR771" s="50"/>
      <c r="BS771" s="50"/>
      <c r="BT771" s="50"/>
      <c r="BU771" s="50"/>
      <c r="BV771" s="50"/>
      <c r="BW771" s="50"/>
      <c r="BX771" s="50"/>
      <c r="BY771" s="50"/>
      <c r="BZ771" s="50"/>
      <c r="CA771" s="50"/>
      <c r="CB771" s="50"/>
      <c r="CC771" s="50"/>
      <c r="CD771" s="50"/>
      <c r="CE771" s="50"/>
      <c r="CF771" s="50"/>
      <c r="CG771" s="50"/>
      <c r="CH771" s="50"/>
      <c r="CI771" s="50"/>
      <c r="CJ771" s="50"/>
      <c r="CK771" s="50"/>
      <c r="CL771" s="50"/>
      <c r="CM771" s="50"/>
      <c r="CN771" s="50"/>
      <c r="CO771" s="50"/>
      <c r="CP771" s="50"/>
      <c r="CQ771" s="50"/>
      <c r="CR771" s="50"/>
      <c r="CS771" s="50"/>
      <c r="CT771" s="50"/>
      <c r="CU771" s="50"/>
      <c r="CV771" s="50"/>
      <c r="CW771" s="50"/>
      <c r="CX771" s="50"/>
      <c r="CY771" s="50"/>
      <c r="CZ771" s="50"/>
      <c r="DA771" s="50"/>
      <c r="DB771" s="50"/>
      <c r="DC771" s="50"/>
      <c r="DD771" s="50"/>
      <c r="DE771" s="50"/>
      <c r="DF771" s="50"/>
      <c r="DG771" s="50"/>
      <c r="DH771" s="50"/>
      <c r="DI771" s="50"/>
      <c r="DJ771" s="50"/>
      <c r="DK771" s="50"/>
      <c r="DL771" s="50"/>
      <c r="DM771" s="50"/>
      <c r="DN771" s="50"/>
      <c r="DO771" s="50"/>
      <c r="DP771" s="50"/>
      <c r="DQ771" s="50"/>
      <c r="DR771" s="50"/>
      <c r="DS771" s="50"/>
      <c r="DT771" s="50"/>
      <c r="DU771" s="50"/>
      <c r="DV771" s="50"/>
      <c r="DW771" s="50"/>
      <c r="DX771" s="50"/>
      <c r="DY771" s="50"/>
      <c r="DZ771" s="50"/>
      <c r="EA771" s="50"/>
      <c r="EB771" s="50"/>
      <c r="EC771" s="50"/>
      <c r="ED771" s="50"/>
      <c r="EE771" s="50"/>
      <c r="EF771" s="50"/>
      <c r="EG771" s="50"/>
      <c r="EH771" s="50"/>
      <c r="EI771" s="50"/>
      <c r="EJ771" s="50"/>
      <c r="EK771" s="50"/>
      <c r="EL771" s="50"/>
      <c r="EM771" s="50"/>
      <c r="EN771" s="50"/>
      <c r="EO771" s="50"/>
      <c r="EP771" s="50"/>
      <c r="EQ771" s="50"/>
      <c r="ER771" s="50"/>
      <c r="ES771" s="50"/>
      <c r="ET771" s="50"/>
      <c r="EU771" s="50"/>
      <c r="EV771" s="50"/>
      <c r="EW771" s="50"/>
      <c r="EX771" s="50"/>
      <c r="EY771" s="50"/>
      <c r="EZ771" s="50"/>
      <c r="FA771" s="50"/>
      <c r="FB771" s="50"/>
      <c r="FC771" s="50"/>
      <c r="FD771" s="50"/>
      <c r="FE771" s="50"/>
      <c r="FF771" s="50"/>
      <c r="FG771" s="50"/>
      <c r="FH771" s="50"/>
      <c r="FI771" s="50"/>
      <c r="FJ771" s="50"/>
      <c r="FK771" s="50"/>
      <c r="FL771" s="50"/>
      <c r="FM771" s="50"/>
      <c r="FN771" s="50"/>
      <c r="FO771" s="50"/>
      <c r="FP771" s="50"/>
      <c r="FQ771" s="50"/>
      <c r="FR771" s="50"/>
      <c r="FS771" s="50"/>
      <c r="FT771" s="50"/>
      <c r="FU771" s="50"/>
    </row>
    <row r="772" spans="1:177" s="103" customFormat="1" ht="21" customHeight="1" x14ac:dyDescent="0.2">
      <c r="A772" s="50"/>
      <c r="B772" s="51">
        <v>104</v>
      </c>
      <c r="C772" s="73" t="s">
        <v>42</v>
      </c>
      <c r="D772" s="67">
        <v>16479</v>
      </c>
      <c r="E772" s="72" t="s">
        <v>986</v>
      </c>
      <c r="F772" s="72" t="s">
        <v>928</v>
      </c>
      <c r="G772" s="169">
        <v>43252</v>
      </c>
      <c r="H772" s="55" t="str">
        <f t="shared" si="895"/>
        <v>6 AÑOS</v>
      </c>
      <c r="I772" s="57">
        <v>7822.9623119463167</v>
      </c>
      <c r="J772" s="57"/>
      <c r="K772" s="57"/>
      <c r="L772" s="74"/>
      <c r="M772" s="171">
        <v>4.0000000000000002E-4</v>
      </c>
      <c r="N772" s="81">
        <f t="shared" si="901"/>
        <v>312.91849247785268</v>
      </c>
      <c r="O772" s="57">
        <f t="shared" si="902"/>
        <v>8135.8808044241696</v>
      </c>
      <c r="P772" s="81">
        <f t="shared" si="945"/>
        <v>16271.761608848339</v>
      </c>
      <c r="Q772" s="81">
        <f t="shared" si="946"/>
        <v>12203.821206636254</v>
      </c>
      <c r="R772" s="81">
        <f t="shared" si="947"/>
        <v>4067.9404022120848</v>
      </c>
      <c r="S772" s="81">
        <f t="shared" si="948"/>
        <v>542.39205362827795</v>
      </c>
      <c r="T772" s="57">
        <f t="shared" si="949"/>
        <v>622.61183835990016</v>
      </c>
      <c r="U772" s="81">
        <f t="shared" si="950"/>
        <v>6101.910603318127</v>
      </c>
      <c r="V772" s="57">
        <f t="shared" si="951"/>
        <v>2033.9702011060424</v>
      </c>
      <c r="W772" s="101">
        <v>0</v>
      </c>
      <c r="X772" s="158">
        <f t="shared" si="903"/>
        <v>0</v>
      </c>
      <c r="Y772" s="81">
        <v>1077.5681930618007</v>
      </c>
      <c r="Z772" s="81">
        <v>0</v>
      </c>
      <c r="AA772" s="81">
        <f t="shared" si="904"/>
        <v>2033.9702011060424</v>
      </c>
      <c r="AB772" s="81">
        <f t="shared" si="905"/>
        <v>406.79404022120849</v>
      </c>
      <c r="AC772" s="81">
        <v>2542.6980454117233</v>
      </c>
      <c r="AD772" s="81">
        <v>1631.8967589332165</v>
      </c>
      <c r="AE772" s="81">
        <v>965.04834945784535</v>
      </c>
      <c r="AF772" s="81">
        <v>0</v>
      </c>
      <c r="AG772" s="81">
        <f t="shared" si="906"/>
        <v>561.3757755052676</v>
      </c>
      <c r="AH772" s="64"/>
      <c r="AI772" s="64"/>
      <c r="AJ772" s="51">
        <v>104</v>
      </c>
      <c r="AK772" s="73" t="s">
        <v>42</v>
      </c>
      <c r="AL772" s="67">
        <v>16479</v>
      </c>
      <c r="AM772" s="72" t="s">
        <v>986</v>
      </c>
      <c r="AN772" s="72" t="s">
        <v>928</v>
      </c>
      <c r="AO772" s="65">
        <f t="shared" si="933"/>
        <v>146445.85447963505</v>
      </c>
      <c r="AP772" s="65">
        <f t="shared" si="934"/>
        <v>48815.284826545016</v>
      </c>
      <c r="AQ772" s="65">
        <f t="shared" si="935"/>
        <v>0</v>
      </c>
      <c r="AR772" s="65">
        <f t="shared" si="936"/>
        <v>12930.818316741608</v>
      </c>
      <c r="AS772" s="65">
        <f t="shared" si="937"/>
        <v>0</v>
      </c>
      <c r="AT772" s="65">
        <f t="shared" si="938"/>
        <v>24407.642413272508</v>
      </c>
      <c r="AU772" s="65">
        <f t="shared" si="939"/>
        <v>4881.5284826545021</v>
      </c>
      <c r="AV772" s="65">
        <f t="shared" si="940"/>
        <v>30512.376544940678</v>
      </c>
      <c r="AW772" s="65">
        <f t="shared" si="941"/>
        <v>19582.761107198596</v>
      </c>
      <c r="AX772" s="65">
        <f t="shared" si="942"/>
        <v>11580.580193494145</v>
      </c>
      <c r="AY772" s="65">
        <f t="shared" si="943"/>
        <v>0</v>
      </c>
      <c r="AZ772" s="65">
        <f t="shared" si="944"/>
        <v>6736.5093060632116</v>
      </c>
      <c r="BA772" s="50"/>
      <c r="BB772" s="64"/>
      <c r="BC772" s="66"/>
      <c r="BD772" s="66"/>
      <c r="BE772" s="66"/>
      <c r="BF772" s="50"/>
      <c r="BG772" s="50"/>
      <c r="BH772" s="50"/>
      <c r="BI772" s="50"/>
      <c r="BJ772" s="50"/>
      <c r="BK772" s="50"/>
      <c r="BL772" s="50"/>
      <c r="BM772" s="50"/>
      <c r="BN772" s="50"/>
      <c r="BO772" s="50"/>
      <c r="BP772" s="50"/>
      <c r="BQ772" s="50"/>
      <c r="BR772" s="50"/>
      <c r="BS772" s="50"/>
      <c r="BT772" s="50"/>
      <c r="BU772" s="50"/>
      <c r="BV772" s="50"/>
      <c r="BW772" s="50"/>
      <c r="BX772" s="50"/>
      <c r="BY772" s="50"/>
      <c r="BZ772" s="50"/>
      <c r="CA772" s="50"/>
      <c r="CB772" s="50"/>
      <c r="CC772" s="50"/>
      <c r="CD772" s="50"/>
      <c r="CE772" s="50"/>
      <c r="CF772" s="50"/>
      <c r="CG772" s="50"/>
      <c r="CH772" s="50"/>
      <c r="CI772" s="50"/>
      <c r="CJ772" s="50"/>
      <c r="CK772" s="50"/>
      <c r="CL772" s="50"/>
      <c r="CM772" s="50"/>
      <c r="CN772" s="50"/>
      <c r="CO772" s="50"/>
      <c r="CP772" s="50"/>
      <c r="CQ772" s="50"/>
      <c r="CR772" s="50"/>
      <c r="CS772" s="50"/>
      <c r="CT772" s="50"/>
      <c r="CU772" s="50"/>
      <c r="CV772" s="50"/>
      <c r="CW772" s="50"/>
      <c r="CX772" s="50"/>
      <c r="CY772" s="50"/>
      <c r="CZ772" s="50"/>
      <c r="DA772" s="50"/>
      <c r="DB772" s="50"/>
      <c r="DC772" s="50"/>
      <c r="DD772" s="50"/>
      <c r="DE772" s="50"/>
      <c r="DF772" s="50"/>
      <c r="DG772" s="50"/>
      <c r="DH772" s="50"/>
      <c r="DI772" s="50"/>
      <c r="DJ772" s="50"/>
      <c r="DK772" s="50"/>
      <c r="DL772" s="50"/>
      <c r="DM772" s="50"/>
      <c r="DN772" s="50"/>
      <c r="DO772" s="50"/>
      <c r="DP772" s="50"/>
      <c r="DQ772" s="50"/>
      <c r="DR772" s="50"/>
      <c r="DS772" s="50"/>
      <c r="DT772" s="50"/>
      <c r="DU772" s="50"/>
      <c r="DV772" s="50"/>
      <c r="DW772" s="50"/>
      <c r="DX772" s="50"/>
      <c r="DY772" s="50"/>
      <c r="DZ772" s="50"/>
      <c r="EA772" s="50"/>
      <c r="EB772" s="50"/>
      <c r="EC772" s="50"/>
      <c r="ED772" s="50"/>
      <c r="EE772" s="50"/>
      <c r="EF772" s="50"/>
      <c r="EG772" s="50"/>
      <c r="EH772" s="50"/>
      <c r="EI772" s="50"/>
      <c r="EJ772" s="50"/>
      <c r="EK772" s="50"/>
      <c r="EL772" s="50"/>
      <c r="EM772" s="50"/>
      <c r="EN772" s="50"/>
      <c r="EO772" s="50"/>
      <c r="EP772" s="50"/>
      <c r="EQ772" s="50"/>
      <c r="ER772" s="50"/>
      <c r="ES772" s="50"/>
      <c r="ET772" s="50"/>
      <c r="EU772" s="50"/>
      <c r="EV772" s="50"/>
      <c r="EW772" s="50"/>
      <c r="EX772" s="50"/>
      <c r="EY772" s="50"/>
      <c r="EZ772" s="50"/>
      <c r="FA772" s="50"/>
      <c r="FB772" s="50"/>
      <c r="FC772" s="50"/>
      <c r="FD772" s="50"/>
      <c r="FE772" s="50"/>
      <c r="FF772" s="50"/>
      <c r="FG772" s="50"/>
      <c r="FH772" s="50"/>
      <c r="FI772" s="50"/>
      <c r="FJ772" s="50"/>
      <c r="FK772" s="50"/>
      <c r="FL772" s="50"/>
      <c r="FM772" s="50"/>
      <c r="FN772" s="50"/>
      <c r="FO772" s="50"/>
      <c r="FP772" s="50"/>
      <c r="FQ772" s="50"/>
      <c r="FR772" s="50"/>
      <c r="FS772" s="50"/>
      <c r="FT772" s="50"/>
      <c r="FU772" s="50"/>
    </row>
    <row r="773" spans="1:177" s="103" customFormat="1" ht="21" customHeight="1" x14ac:dyDescent="0.2">
      <c r="A773" s="50"/>
      <c r="B773" s="51">
        <v>105</v>
      </c>
      <c r="C773" s="73" t="s">
        <v>42</v>
      </c>
      <c r="D773" s="67">
        <v>16521</v>
      </c>
      <c r="E773" s="73" t="s">
        <v>987</v>
      </c>
      <c r="F773" s="72" t="s">
        <v>928</v>
      </c>
      <c r="G773" s="169">
        <v>43540</v>
      </c>
      <c r="H773" s="55" t="str">
        <f t="shared" si="895"/>
        <v>5 AÑOS</v>
      </c>
      <c r="I773" s="57">
        <v>7822.9623119463167</v>
      </c>
      <c r="J773" s="57"/>
      <c r="K773" s="57"/>
      <c r="L773" s="74"/>
      <c r="M773" s="171">
        <v>4.0000000000000002E-4</v>
      </c>
      <c r="N773" s="81">
        <f t="shared" si="901"/>
        <v>312.91849247785268</v>
      </c>
      <c r="O773" s="57">
        <f t="shared" si="902"/>
        <v>8135.8808044241696</v>
      </c>
      <c r="P773" s="81">
        <f t="shared" si="945"/>
        <v>16271.761608848339</v>
      </c>
      <c r="Q773" s="81">
        <f t="shared" si="946"/>
        <v>12203.821206636254</v>
      </c>
      <c r="R773" s="81">
        <f t="shared" si="947"/>
        <v>4067.9404022120848</v>
      </c>
      <c r="S773" s="81">
        <f t="shared" si="948"/>
        <v>542.39205362827795</v>
      </c>
      <c r="T773" s="57">
        <f t="shared" si="949"/>
        <v>622.61183835990016</v>
      </c>
      <c r="U773" s="81">
        <f t="shared" si="950"/>
        <v>6101.910603318127</v>
      </c>
      <c r="V773" s="57">
        <f t="shared" si="951"/>
        <v>2033.9702011060424</v>
      </c>
      <c r="W773" s="101">
        <v>0</v>
      </c>
      <c r="X773" s="158">
        <f t="shared" si="903"/>
        <v>0</v>
      </c>
      <c r="Y773" s="81">
        <v>1077.5681930618007</v>
      </c>
      <c r="Z773" s="81">
        <v>0</v>
      </c>
      <c r="AA773" s="81">
        <f t="shared" si="904"/>
        <v>2033.9702011060424</v>
      </c>
      <c r="AB773" s="81">
        <f t="shared" si="905"/>
        <v>406.79404022120849</v>
      </c>
      <c r="AC773" s="81">
        <v>2542.6980454117233</v>
      </c>
      <c r="AD773" s="81">
        <v>1631.8967589332165</v>
      </c>
      <c r="AE773" s="81">
        <v>965.04834945784535</v>
      </c>
      <c r="AF773" s="81">
        <v>0</v>
      </c>
      <c r="AG773" s="81">
        <f t="shared" si="906"/>
        <v>561.3757755052676</v>
      </c>
      <c r="AH773" s="64"/>
      <c r="AI773" s="64"/>
      <c r="AJ773" s="51">
        <v>105</v>
      </c>
      <c r="AK773" s="73" t="s">
        <v>42</v>
      </c>
      <c r="AL773" s="67">
        <v>16521</v>
      </c>
      <c r="AM773" s="73" t="s">
        <v>987</v>
      </c>
      <c r="AN773" s="72" t="s">
        <v>928</v>
      </c>
      <c r="AO773" s="65">
        <f t="shared" si="933"/>
        <v>146445.85447963505</v>
      </c>
      <c r="AP773" s="65">
        <f t="shared" si="934"/>
        <v>48815.284826545016</v>
      </c>
      <c r="AQ773" s="65">
        <f t="shared" si="935"/>
        <v>0</v>
      </c>
      <c r="AR773" s="65">
        <f t="shared" si="936"/>
        <v>12930.818316741608</v>
      </c>
      <c r="AS773" s="65">
        <f t="shared" si="937"/>
        <v>0</v>
      </c>
      <c r="AT773" s="65">
        <f t="shared" si="938"/>
        <v>24407.642413272508</v>
      </c>
      <c r="AU773" s="65">
        <f t="shared" si="939"/>
        <v>4881.5284826545021</v>
      </c>
      <c r="AV773" s="65">
        <f t="shared" si="940"/>
        <v>30512.376544940678</v>
      </c>
      <c r="AW773" s="65">
        <f t="shared" si="941"/>
        <v>19582.761107198596</v>
      </c>
      <c r="AX773" s="65">
        <f t="shared" si="942"/>
        <v>11580.580193494145</v>
      </c>
      <c r="AY773" s="65">
        <f t="shared" si="943"/>
        <v>0</v>
      </c>
      <c r="AZ773" s="65">
        <f t="shared" si="944"/>
        <v>6736.5093060632116</v>
      </c>
      <c r="BA773" s="50"/>
      <c r="BB773" s="64"/>
      <c r="BC773" s="66"/>
      <c r="BD773" s="66"/>
      <c r="BE773" s="66"/>
      <c r="BF773" s="50"/>
      <c r="BG773" s="50"/>
      <c r="BH773" s="50"/>
      <c r="BI773" s="50"/>
      <c r="BJ773" s="50"/>
      <c r="BK773" s="50"/>
      <c r="BL773" s="50"/>
      <c r="BM773" s="50"/>
      <c r="BN773" s="50"/>
      <c r="BO773" s="50"/>
      <c r="BP773" s="50"/>
      <c r="BQ773" s="50"/>
      <c r="BR773" s="50"/>
      <c r="BS773" s="50"/>
      <c r="BT773" s="50"/>
      <c r="BU773" s="50"/>
      <c r="BV773" s="50"/>
      <c r="BW773" s="50"/>
      <c r="BX773" s="50"/>
      <c r="BY773" s="50"/>
      <c r="BZ773" s="50"/>
      <c r="CA773" s="50"/>
      <c r="CB773" s="50"/>
      <c r="CC773" s="50"/>
      <c r="CD773" s="50"/>
      <c r="CE773" s="50"/>
      <c r="CF773" s="50"/>
      <c r="CG773" s="50"/>
      <c r="CH773" s="50"/>
      <c r="CI773" s="50"/>
      <c r="CJ773" s="50"/>
      <c r="CK773" s="50"/>
      <c r="CL773" s="50"/>
      <c r="CM773" s="50"/>
      <c r="CN773" s="50"/>
      <c r="CO773" s="50"/>
      <c r="CP773" s="50"/>
      <c r="CQ773" s="50"/>
      <c r="CR773" s="50"/>
      <c r="CS773" s="50"/>
      <c r="CT773" s="50"/>
      <c r="CU773" s="50"/>
      <c r="CV773" s="50"/>
      <c r="CW773" s="50"/>
      <c r="CX773" s="50"/>
      <c r="CY773" s="50"/>
      <c r="CZ773" s="50"/>
      <c r="DA773" s="50"/>
      <c r="DB773" s="50"/>
      <c r="DC773" s="50"/>
      <c r="DD773" s="50"/>
      <c r="DE773" s="50"/>
      <c r="DF773" s="50"/>
      <c r="DG773" s="50"/>
      <c r="DH773" s="50"/>
      <c r="DI773" s="50"/>
      <c r="DJ773" s="50"/>
      <c r="DK773" s="50"/>
      <c r="DL773" s="50"/>
      <c r="DM773" s="50"/>
      <c r="DN773" s="50"/>
      <c r="DO773" s="50"/>
      <c r="DP773" s="50"/>
      <c r="DQ773" s="50"/>
      <c r="DR773" s="50"/>
      <c r="DS773" s="50"/>
      <c r="DT773" s="50"/>
      <c r="DU773" s="50"/>
      <c r="DV773" s="50"/>
      <c r="DW773" s="50"/>
      <c r="DX773" s="50"/>
      <c r="DY773" s="50"/>
      <c r="DZ773" s="50"/>
      <c r="EA773" s="50"/>
      <c r="EB773" s="50"/>
      <c r="EC773" s="50"/>
      <c r="ED773" s="50"/>
      <c r="EE773" s="50"/>
      <c r="EF773" s="50"/>
      <c r="EG773" s="50"/>
      <c r="EH773" s="50"/>
      <c r="EI773" s="50"/>
      <c r="EJ773" s="50"/>
      <c r="EK773" s="50"/>
      <c r="EL773" s="50"/>
      <c r="EM773" s="50"/>
      <c r="EN773" s="50"/>
      <c r="EO773" s="50"/>
      <c r="EP773" s="50"/>
      <c r="EQ773" s="50"/>
      <c r="ER773" s="50"/>
      <c r="ES773" s="50"/>
      <c r="ET773" s="50"/>
      <c r="EU773" s="50"/>
      <c r="EV773" s="50"/>
      <c r="EW773" s="50"/>
      <c r="EX773" s="50"/>
      <c r="EY773" s="50"/>
      <c r="EZ773" s="50"/>
      <c r="FA773" s="50"/>
      <c r="FB773" s="50"/>
      <c r="FC773" s="50"/>
      <c r="FD773" s="50"/>
      <c r="FE773" s="50"/>
      <c r="FF773" s="50"/>
      <c r="FG773" s="50"/>
      <c r="FH773" s="50"/>
      <c r="FI773" s="50"/>
      <c r="FJ773" s="50"/>
      <c r="FK773" s="50"/>
      <c r="FL773" s="50"/>
      <c r="FM773" s="50"/>
      <c r="FN773" s="50"/>
      <c r="FO773" s="50"/>
      <c r="FP773" s="50"/>
      <c r="FQ773" s="50"/>
      <c r="FR773" s="50"/>
      <c r="FS773" s="50"/>
      <c r="FT773" s="50"/>
      <c r="FU773" s="50"/>
    </row>
    <row r="774" spans="1:177" s="103" customFormat="1" ht="21" customHeight="1" x14ac:dyDescent="0.2">
      <c r="A774" s="50"/>
      <c r="B774" s="51">
        <v>106</v>
      </c>
      <c r="C774" s="73" t="s">
        <v>42</v>
      </c>
      <c r="D774" s="67">
        <v>16623</v>
      </c>
      <c r="E774" s="73" t="s">
        <v>988</v>
      </c>
      <c r="F774" s="72" t="s">
        <v>928</v>
      </c>
      <c r="G774" s="55">
        <v>44875</v>
      </c>
      <c r="H774" s="55" t="str">
        <f t="shared" si="895"/>
        <v>2 AÑOS</v>
      </c>
      <c r="I774" s="57">
        <v>7822.9623119463167</v>
      </c>
      <c r="J774" s="57"/>
      <c r="K774" s="57"/>
      <c r="L774" s="74"/>
      <c r="M774" s="171">
        <v>4.0000000000000002E-4</v>
      </c>
      <c r="N774" s="81">
        <f t="shared" si="901"/>
        <v>312.91849247785268</v>
      </c>
      <c r="O774" s="57">
        <f t="shared" si="902"/>
        <v>8135.8808044241696</v>
      </c>
      <c r="P774" s="81">
        <f t="shared" si="945"/>
        <v>16271.761608848339</v>
      </c>
      <c r="Q774" s="81">
        <f t="shared" si="946"/>
        <v>12203.821206636254</v>
      </c>
      <c r="R774" s="81">
        <f t="shared" si="947"/>
        <v>4067.9404022120848</v>
      </c>
      <c r="S774" s="81">
        <f t="shared" si="948"/>
        <v>542.39205362827795</v>
      </c>
      <c r="T774" s="57">
        <f t="shared" si="949"/>
        <v>622.61183835990016</v>
      </c>
      <c r="U774" s="81">
        <f t="shared" si="950"/>
        <v>6101.910603318127</v>
      </c>
      <c r="V774" s="57">
        <f t="shared" si="951"/>
        <v>2033.9702011060424</v>
      </c>
      <c r="W774" s="101">
        <v>0</v>
      </c>
      <c r="X774" s="158">
        <f t="shared" si="903"/>
        <v>0</v>
      </c>
      <c r="Y774" s="81">
        <v>1077.5681930618007</v>
      </c>
      <c r="Z774" s="81">
        <v>0</v>
      </c>
      <c r="AA774" s="81">
        <f t="shared" si="904"/>
        <v>2033.9702011060424</v>
      </c>
      <c r="AB774" s="81">
        <f t="shared" si="905"/>
        <v>406.79404022120849</v>
      </c>
      <c r="AC774" s="81">
        <v>2542.6980454117233</v>
      </c>
      <c r="AD774" s="81">
        <v>1631.8967589332165</v>
      </c>
      <c r="AE774" s="81">
        <v>965.04834945784535</v>
      </c>
      <c r="AF774" s="81">
        <v>0</v>
      </c>
      <c r="AG774" s="81">
        <f t="shared" si="906"/>
        <v>561.3757755052676</v>
      </c>
      <c r="AH774" s="64"/>
      <c r="AI774" s="64"/>
      <c r="AJ774" s="51">
        <v>106</v>
      </c>
      <c r="AK774" s="73" t="s">
        <v>42</v>
      </c>
      <c r="AL774" s="67">
        <v>16623</v>
      </c>
      <c r="AM774" s="73" t="s">
        <v>988</v>
      </c>
      <c r="AN774" s="72" t="s">
        <v>928</v>
      </c>
      <c r="AO774" s="65">
        <f t="shared" si="933"/>
        <v>146445.85447963505</v>
      </c>
      <c r="AP774" s="65">
        <f t="shared" si="934"/>
        <v>48815.284826545016</v>
      </c>
      <c r="AQ774" s="65">
        <f t="shared" si="935"/>
        <v>0</v>
      </c>
      <c r="AR774" s="65">
        <f t="shared" si="936"/>
        <v>12930.818316741608</v>
      </c>
      <c r="AS774" s="65">
        <f t="shared" si="937"/>
        <v>0</v>
      </c>
      <c r="AT774" s="65">
        <f t="shared" si="938"/>
        <v>24407.642413272508</v>
      </c>
      <c r="AU774" s="65">
        <f t="shared" si="939"/>
        <v>4881.5284826545021</v>
      </c>
      <c r="AV774" s="65">
        <f t="shared" si="940"/>
        <v>30512.376544940678</v>
      </c>
      <c r="AW774" s="65">
        <f t="shared" si="941"/>
        <v>19582.761107198596</v>
      </c>
      <c r="AX774" s="65">
        <f t="shared" si="942"/>
        <v>11580.580193494145</v>
      </c>
      <c r="AY774" s="65">
        <f t="shared" si="943"/>
        <v>0</v>
      </c>
      <c r="AZ774" s="65">
        <f t="shared" si="944"/>
        <v>6736.5093060632116</v>
      </c>
      <c r="BA774" s="50"/>
      <c r="BB774" s="64"/>
      <c r="BC774" s="66"/>
      <c r="BD774" s="66"/>
      <c r="BE774" s="66"/>
      <c r="BF774" s="50"/>
      <c r="BG774" s="50"/>
      <c r="BH774" s="50"/>
      <c r="BI774" s="50"/>
      <c r="BJ774" s="50"/>
      <c r="BK774" s="50"/>
      <c r="BL774" s="50"/>
      <c r="BM774" s="50"/>
      <c r="BN774" s="50"/>
      <c r="BO774" s="50"/>
      <c r="BP774" s="50"/>
      <c r="BQ774" s="50"/>
      <c r="BR774" s="50"/>
      <c r="BS774" s="50"/>
      <c r="BT774" s="50"/>
      <c r="BU774" s="50"/>
      <c r="BV774" s="50"/>
      <c r="BW774" s="50"/>
      <c r="BX774" s="50"/>
      <c r="BY774" s="50"/>
      <c r="BZ774" s="50"/>
      <c r="CA774" s="50"/>
      <c r="CB774" s="50"/>
      <c r="CC774" s="50"/>
      <c r="CD774" s="50"/>
      <c r="CE774" s="50"/>
      <c r="CF774" s="50"/>
      <c r="CG774" s="50"/>
      <c r="CH774" s="50"/>
      <c r="CI774" s="50"/>
      <c r="CJ774" s="50"/>
      <c r="CK774" s="50"/>
      <c r="CL774" s="50"/>
      <c r="CM774" s="50"/>
      <c r="CN774" s="50"/>
      <c r="CO774" s="50"/>
      <c r="CP774" s="50"/>
      <c r="CQ774" s="50"/>
      <c r="CR774" s="50"/>
      <c r="CS774" s="50"/>
      <c r="CT774" s="50"/>
      <c r="CU774" s="50"/>
      <c r="CV774" s="50"/>
      <c r="CW774" s="50"/>
      <c r="CX774" s="50"/>
      <c r="CY774" s="50"/>
      <c r="CZ774" s="50"/>
      <c r="DA774" s="50"/>
      <c r="DB774" s="50"/>
      <c r="DC774" s="50"/>
      <c r="DD774" s="50"/>
      <c r="DE774" s="50"/>
      <c r="DF774" s="50"/>
      <c r="DG774" s="50"/>
      <c r="DH774" s="50"/>
      <c r="DI774" s="50"/>
      <c r="DJ774" s="50"/>
      <c r="DK774" s="50"/>
      <c r="DL774" s="50"/>
      <c r="DM774" s="50"/>
      <c r="DN774" s="50"/>
      <c r="DO774" s="50"/>
      <c r="DP774" s="50"/>
      <c r="DQ774" s="50"/>
      <c r="DR774" s="50"/>
      <c r="DS774" s="50"/>
      <c r="DT774" s="50"/>
      <c r="DU774" s="50"/>
      <c r="DV774" s="50"/>
      <c r="DW774" s="50"/>
      <c r="DX774" s="50"/>
      <c r="DY774" s="50"/>
      <c r="DZ774" s="50"/>
      <c r="EA774" s="50"/>
      <c r="EB774" s="50"/>
      <c r="EC774" s="50"/>
      <c r="ED774" s="50"/>
      <c r="EE774" s="50"/>
      <c r="EF774" s="50"/>
      <c r="EG774" s="50"/>
      <c r="EH774" s="50"/>
      <c r="EI774" s="50"/>
      <c r="EJ774" s="50"/>
      <c r="EK774" s="50"/>
      <c r="EL774" s="50"/>
      <c r="EM774" s="50"/>
      <c r="EN774" s="50"/>
      <c r="EO774" s="50"/>
      <c r="EP774" s="50"/>
      <c r="EQ774" s="50"/>
      <c r="ER774" s="50"/>
      <c r="ES774" s="50"/>
      <c r="ET774" s="50"/>
      <c r="EU774" s="50"/>
      <c r="EV774" s="50"/>
      <c r="EW774" s="50"/>
      <c r="EX774" s="50"/>
      <c r="EY774" s="50"/>
      <c r="EZ774" s="50"/>
      <c r="FA774" s="50"/>
      <c r="FB774" s="50"/>
      <c r="FC774" s="50"/>
      <c r="FD774" s="50"/>
      <c r="FE774" s="50"/>
      <c r="FF774" s="50"/>
      <c r="FG774" s="50"/>
      <c r="FH774" s="50"/>
      <c r="FI774" s="50"/>
      <c r="FJ774" s="50"/>
      <c r="FK774" s="50"/>
      <c r="FL774" s="50"/>
      <c r="FM774" s="50"/>
      <c r="FN774" s="50"/>
      <c r="FO774" s="50"/>
      <c r="FP774" s="50"/>
      <c r="FQ774" s="50"/>
      <c r="FR774" s="50"/>
      <c r="FS774" s="50"/>
      <c r="FT774" s="50"/>
      <c r="FU774" s="50"/>
    </row>
    <row r="775" spans="1:177" s="103" customFormat="1" ht="21" customHeight="1" x14ac:dyDescent="0.2">
      <c r="A775" s="50"/>
      <c r="B775" s="51">
        <v>107</v>
      </c>
      <c r="C775" s="73" t="s">
        <v>42</v>
      </c>
      <c r="D775" s="67">
        <v>16610</v>
      </c>
      <c r="E775" s="72" t="s">
        <v>989</v>
      </c>
      <c r="F775" s="72" t="s">
        <v>928</v>
      </c>
      <c r="G775" s="169">
        <v>44743</v>
      </c>
      <c r="H775" s="55" t="str">
        <f t="shared" si="895"/>
        <v>2 AÑOS</v>
      </c>
      <c r="I775" s="57">
        <v>7822.9623119463167</v>
      </c>
      <c r="J775" s="57"/>
      <c r="K775" s="57"/>
      <c r="L775" s="74"/>
      <c r="M775" s="171">
        <v>4.0000000000000002E-4</v>
      </c>
      <c r="N775" s="81">
        <f t="shared" si="901"/>
        <v>312.91849247785268</v>
      </c>
      <c r="O775" s="57">
        <f t="shared" si="902"/>
        <v>8135.8808044241696</v>
      </c>
      <c r="P775" s="81">
        <f t="shared" si="945"/>
        <v>16271.761608848339</v>
      </c>
      <c r="Q775" s="81">
        <f t="shared" si="946"/>
        <v>12203.821206636254</v>
      </c>
      <c r="R775" s="81">
        <f t="shared" si="947"/>
        <v>4067.9404022120848</v>
      </c>
      <c r="S775" s="81">
        <f t="shared" si="948"/>
        <v>542.39205362827795</v>
      </c>
      <c r="T775" s="57">
        <f t="shared" si="949"/>
        <v>622.61183835990016</v>
      </c>
      <c r="U775" s="81">
        <f t="shared" si="950"/>
        <v>6101.910603318127</v>
      </c>
      <c r="V775" s="57">
        <f t="shared" si="951"/>
        <v>2033.9702011060424</v>
      </c>
      <c r="W775" s="101">
        <v>0</v>
      </c>
      <c r="X775" s="158">
        <f t="shared" si="903"/>
        <v>0</v>
      </c>
      <c r="Y775" s="81">
        <v>1077.5681930618007</v>
      </c>
      <c r="Z775" s="81">
        <v>0</v>
      </c>
      <c r="AA775" s="81">
        <f t="shared" si="904"/>
        <v>2033.9702011060424</v>
      </c>
      <c r="AB775" s="81">
        <f t="shared" si="905"/>
        <v>406.79404022120849</v>
      </c>
      <c r="AC775" s="81">
        <v>2542.6980454117233</v>
      </c>
      <c r="AD775" s="81">
        <v>1631.8967589332165</v>
      </c>
      <c r="AE775" s="81">
        <v>965.04834945784535</v>
      </c>
      <c r="AF775" s="81">
        <v>0</v>
      </c>
      <c r="AG775" s="81">
        <f t="shared" si="906"/>
        <v>561.3757755052676</v>
      </c>
      <c r="AH775" s="64"/>
      <c r="AI775" s="64"/>
      <c r="AJ775" s="51">
        <v>107</v>
      </c>
      <c r="AK775" s="73" t="s">
        <v>42</v>
      </c>
      <c r="AL775" s="67">
        <v>16610</v>
      </c>
      <c r="AM775" s="72" t="s">
        <v>989</v>
      </c>
      <c r="AN775" s="72" t="s">
        <v>928</v>
      </c>
      <c r="AO775" s="65">
        <f t="shared" si="933"/>
        <v>146445.85447963505</v>
      </c>
      <c r="AP775" s="65">
        <f t="shared" si="934"/>
        <v>48815.284826545016</v>
      </c>
      <c r="AQ775" s="65">
        <f t="shared" si="935"/>
        <v>0</v>
      </c>
      <c r="AR775" s="65">
        <f t="shared" si="936"/>
        <v>12930.818316741608</v>
      </c>
      <c r="AS775" s="65">
        <f t="shared" si="937"/>
        <v>0</v>
      </c>
      <c r="AT775" s="65">
        <f t="shared" si="938"/>
        <v>24407.642413272508</v>
      </c>
      <c r="AU775" s="65">
        <f t="shared" si="939"/>
        <v>4881.5284826545021</v>
      </c>
      <c r="AV775" s="65">
        <f t="shared" si="940"/>
        <v>30512.376544940678</v>
      </c>
      <c r="AW775" s="65">
        <f t="shared" si="941"/>
        <v>19582.761107198596</v>
      </c>
      <c r="AX775" s="65">
        <f t="shared" si="942"/>
        <v>11580.580193494145</v>
      </c>
      <c r="AY775" s="65">
        <f t="shared" si="943"/>
        <v>0</v>
      </c>
      <c r="AZ775" s="65">
        <f t="shared" si="944"/>
        <v>6736.5093060632116</v>
      </c>
      <c r="BA775" s="50"/>
      <c r="BB775" s="64"/>
      <c r="BC775" s="66"/>
      <c r="BD775" s="66"/>
      <c r="BE775" s="66"/>
      <c r="BF775" s="50"/>
      <c r="BG775" s="50"/>
      <c r="BH775" s="50"/>
      <c r="BI775" s="50"/>
      <c r="BJ775" s="50"/>
      <c r="BK775" s="50"/>
      <c r="BL775" s="50"/>
      <c r="BM775" s="50"/>
      <c r="BN775" s="50"/>
      <c r="BO775" s="50"/>
      <c r="BP775" s="50"/>
      <c r="BQ775" s="50"/>
      <c r="BR775" s="50"/>
      <c r="BS775" s="50"/>
      <c r="BT775" s="50"/>
      <c r="BU775" s="50"/>
      <c r="BV775" s="50"/>
      <c r="BW775" s="50"/>
      <c r="BX775" s="50"/>
      <c r="BY775" s="50"/>
      <c r="BZ775" s="50"/>
      <c r="CA775" s="50"/>
      <c r="CB775" s="50"/>
      <c r="CC775" s="50"/>
      <c r="CD775" s="50"/>
      <c r="CE775" s="50"/>
      <c r="CF775" s="50"/>
      <c r="CG775" s="50"/>
      <c r="CH775" s="50"/>
      <c r="CI775" s="50"/>
      <c r="CJ775" s="50"/>
      <c r="CK775" s="50"/>
      <c r="CL775" s="50"/>
      <c r="CM775" s="50"/>
      <c r="CN775" s="50"/>
      <c r="CO775" s="50"/>
      <c r="CP775" s="50"/>
      <c r="CQ775" s="50"/>
      <c r="CR775" s="50"/>
      <c r="CS775" s="50"/>
      <c r="CT775" s="50"/>
      <c r="CU775" s="50"/>
      <c r="CV775" s="50"/>
      <c r="CW775" s="50"/>
      <c r="CX775" s="50"/>
      <c r="CY775" s="50"/>
      <c r="CZ775" s="50"/>
      <c r="DA775" s="50"/>
      <c r="DB775" s="50"/>
      <c r="DC775" s="50"/>
      <c r="DD775" s="50"/>
      <c r="DE775" s="50"/>
      <c r="DF775" s="50"/>
      <c r="DG775" s="50"/>
      <c r="DH775" s="50"/>
      <c r="DI775" s="50"/>
      <c r="DJ775" s="50"/>
      <c r="DK775" s="50"/>
      <c r="DL775" s="50"/>
      <c r="DM775" s="50"/>
      <c r="DN775" s="50"/>
      <c r="DO775" s="50"/>
      <c r="DP775" s="50"/>
      <c r="DQ775" s="50"/>
      <c r="DR775" s="50"/>
      <c r="DS775" s="50"/>
      <c r="DT775" s="50"/>
      <c r="DU775" s="50"/>
      <c r="DV775" s="50"/>
      <c r="DW775" s="50"/>
      <c r="DX775" s="50"/>
      <c r="DY775" s="50"/>
      <c r="DZ775" s="50"/>
      <c r="EA775" s="50"/>
      <c r="EB775" s="50"/>
      <c r="EC775" s="50"/>
      <c r="ED775" s="50"/>
      <c r="EE775" s="50"/>
      <c r="EF775" s="50"/>
      <c r="EG775" s="50"/>
      <c r="EH775" s="50"/>
      <c r="EI775" s="50"/>
      <c r="EJ775" s="50"/>
      <c r="EK775" s="50"/>
      <c r="EL775" s="50"/>
      <c r="EM775" s="50"/>
      <c r="EN775" s="50"/>
      <c r="EO775" s="50"/>
      <c r="EP775" s="50"/>
      <c r="EQ775" s="50"/>
      <c r="ER775" s="50"/>
      <c r="ES775" s="50"/>
      <c r="ET775" s="50"/>
      <c r="EU775" s="50"/>
      <c r="EV775" s="50"/>
      <c r="EW775" s="50"/>
      <c r="EX775" s="50"/>
      <c r="EY775" s="50"/>
      <c r="EZ775" s="50"/>
      <c r="FA775" s="50"/>
      <c r="FB775" s="50"/>
      <c r="FC775" s="50"/>
      <c r="FD775" s="50"/>
      <c r="FE775" s="50"/>
      <c r="FF775" s="50"/>
      <c r="FG775" s="50"/>
      <c r="FH775" s="50"/>
      <c r="FI775" s="50"/>
      <c r="FJ775" s="50"/>
      <c r="FK775" s="50"/>
      <c r="FL775" s="50"/>
      <c r="FM775" s="50"/>
      <c r="FN775" s="50"/>
      <c r="FO775" s="50"/>
      <c r="FP775" s="50"/>
      <c r="FQ775" s="50"/>
      <c r="FR775" s="50"/>
      <c r="FS775" s="50"/>
      <c r="FT775" s="50"/>
      <c r="FU775" s="50"/>
    </row>
    <row r="776" spans="1:177" s="103" customFormat="1" ht="21" customHeight="1" x14ac:dyDescent="0.2">
      <c r="A776" s="50"/>
      <c r="B776" s="51">
        <v>108</v>
      </c>
      <c r="C776" s="73" t="s">
        <v>42</v>
      </c>
      <c r="D776" s="67">
        <v>16617</v>
      </c>
      <c r="E776" s="72" t="s">
        <v>990</v>
      </c>
      <c r="F776" s="72" t="s">
        <v>951</v>
      </c>
      <c r="G776" s="169">
        <v>44852</v>
      </c>
      <c r="H776" s="55" t="str">
        <f t="shared" si="895"/>
        <v>2 AÑOS</v>
      </c>
      <c r="I776" s="57">
        <v>7822.9623119463167</v>
      </c>
      <c r="J776" s="57"/>
      <c r="K776" s="57"/>
      <c r="L776" s="74"/>
      <c r="M776" s="171">
        <v>4.0000000000000002E-4</v>
      </c>
      <c r="N776" s="81">
        <f t="shared" si="901"/>
        <v>312.91849247785268</v>
      </c>
      <c r="O776" s="57">
        <f t="shared" si="902"/>
        <v>8135.8808044241696</v>
      </c>
      <c r="P776" s="81">
        <f t="shared" si="945"/>
        <v>16271.761608848339</v>
      </c>
      <c r="Q776" s="81">
        <f t="shared" si="946"/>
        <v>12203.821206636254</v>
      </c>
      <c r="R776" s="81">
        <f t="shared" si="947"/>
        <v>4067.9404022120848</v>
      </c>
      <c r="S776" s="81">
        <f t="shared" si="948"/>
        <v>542.39205362827795</v>
      </c>
      <c r="T776" s="57">
        <f t="shared" si="949"/>
        <v>622.61183835990016</v>
      </c>
      <c r="U776" s="81">
        <f t="shared" si="950"/>
        <v>6101.910603318127</v>
      </c>
      <c r="V776" s="57">
        <f t="shared" si="951"/>
        <v>2033.9702011060424</v>
      </c>
      <c r="W776" s="101">
        <v>0</v>
      </c>
      <c r="X776" s="158">
        <f t="shared" si="903"/>
        <v>0</v>
      </c>
      <c r="Y776" s="81">
        <v>1077.5681930618007</v>
      </c>
      <c r="Z776" s="81">
        <v>0</v>
      </c>
      <c r="AA776" s="81">
        <f t="shared" si="904"/>
        <v>2033.9702011060424</v>
      </c>
      <c r="AB776" s="81">
        <f t="shared" si="905"/>
        <v>406.79404022120849</v>
      </c>
      <c r="AC776" s="81">
        <v>2542.6980454117233</v>
      </c>
      <c r="AD776" s="81">
        <v>1631.8967589332165</v>
      </c>
      <c r="AE776" s="81">
        <v>965.04834945784535</v>
      </c>
      <c r="AF776" s="81">
        <v>0</v>
      </c>
      <c r="AG776" s="81">
        <f t="shared" si="906"/>
        <v>561.3757755052676</v>
      </c>
      <c r="AH776" s="64"/>
      <c r="AI776" s="64"/>
      <c r="AJ776" s="51">
        <v>108</v>
      </c>
      <c r="AK776" s="73" t="s">
        <v>42</v>
      </c>
      <c r="AL776" s="67">
        <v>16617</v>
      </c>
      <c r="AM776" s="72" t="s">
        <v>990</v>
      </c>
      <c r="AN776" s="72" t="s">
        <v>951</v>
      </c>
      <c r="AO776" s="65">
        <f t="shared" si="933"/>
        <v>146445.85447963505</v>
      </c>
      <c r="AP776" s="65">
        <f t="shared" si="934"/>
        <v>48815.284826545016</v>
      </c>
      <c r="AQ776" s="65">
        <f t="shared" si="935"/>
        <v>0</v>
      </c>
      <c r="AR776" s="65">
        <f t="shared" si="936"/>
        <v>12930.818316741608</v>
      </c>
      <c r="AS776" s="65">
        <f t="shared" si="937"/>
        <v>0</v>
      </c>
      <c r="AT776" s="65">
        <f t="shared" si="938"/>
        <v>24407.642413272508</v>
      </c>
      <c r="AU776" s="65">
        <f t="shared" si="939"/>
        <v>4881.5284826545021</v>
      </c>
      <c r="AV776" s="65">
        <f t="shared" si="940"/>
        <v>30512.376544940678</v>
      </c>
      <c r="AW776" s="65">
        <f t="shared" si="941"/>
        <v>19582.761107198596</v>
      </c>
      <c r="AX776" s="65">
        <f t="shared" si="942"/>
        <v>11580.580193494145</v>
      </c>
      <c r="AY776" s="65">
        <f t="shared" si="943"/>
        <v>0</v>
      </c>
      <c r="AZ776" s="65">
        <f t="shared" si="944"/>
        <v>6736.5093060632116</v>
      </c>
      <c r="BA776" s="50"/>
      <c r="BB776" s="64"/>
      <c r="BC776" s="66"/>
      <c r="BD776" s="66"/>
      <c r="BE776" s="66"/>
      <c r="BF776" s="50"/>
      <c r="BG776" s="50"/>
      <c r="BH776" s="50"/>
      <c r="BI776" s="50"/>
      <c r="BJ776" s="50"/>
      <c r="BK776" s="50"/>
      <c r="BL776" s="50"/>
      <c r="BM776" s="50"/>
      <c r="BN776" s="50"/>
      <c r="BO776" s="50"/>
      <c r="BP776" s="50"/>
      <c r="BQ776" s="50"/>
      <c r="BR776" s="50"/>
      <c r="BS776" s="50"/>
      <c r="BT776" s="50"/>
      <c r="BU776" s="50"/>
      <c r="BV776" s="50"/>
      <c r="BW776" s="50"/>
      <c r="BX776" s="50"/>
      <c r="BY776" s="50"/>
      <c r="BZ776" s="50"/>
      <c r="CA776" s="50"/>
      <c r="CB776" s="50"/>
      <c r="CC776" s="50"/>
      <c r="CD776" s="50"/>
      <c r="CE776" s="50"/>
      <c r="CF776" s="50"/>
      <c r="CG776" s="50"/>
      <c r="CH776" s="50"/>
      <c r="CI776" s="50"/>
      <c r="CJ776" s="50"/>
      <c r="CK776" s="50"/>
      <c r="CL776" s="50"/>
      <c r="CM776" s="50"/>
      <c r="CN776" s="50"/>
      <c r="CO776" s="50"/>
      <c r="CP776" s="50"/>
      <c r="CQ776" s="50"/>
      <c r="CR776" s="50"/>
      <c r="CS776" s="50"/>
      <c r="CT776" s="50"/>
      <c r="CU776" s="50"/>
      <c r="CV776" s="50"/>
      <c r="CW776" s="50"/>
      <c r="CX776" s="50"/>
      <c r="CY776" s="50"/>
      <c r="CZ776" s="50"/>
      <c r="DA776" s="50"/>
      <c r="DB776" s="50"/>
      <c r="DC776" s="50"/>
      <c r="DD776" s="50"/>
      <c r="DE776" s="50"/>
      <c r="DF776" s="50"/>
      <c r="DG776" s="50"/>
      <c r="DH776" s="50"/>
      <c r="DI776" s="50"/>
      <c r="DJ776" s="50"/>
      <c r="DK776" s="50"/>
      <c r="DL776" s="50"/>
      <c r="DM776" s="50"/>
      <c r="DN776" s="50"/>
      <c r="DO776" s="50"/>
      <c r="DP776" s="50"/>
      <c r="DQ776" s="50"/>
      <c r="DR776" s="50"/>
      <c r="DS776" s="50"/>
      <c r="DT776" s="50"/>
      <c r="DU776" s="50"/>
      <c r="DV776" s="50"/>
      <c r="DW776" s="50"/>
      <c r="DX776" s="50"/>
      <c r="DY776" s="50"/>
      <c r="DZ776" s="50"/>
      <c r="EA776" s="50"/>
      <c r="EB776" s="50"/>
      <c r="EC776" s="50"/>
      <c r="ED776" s="50"/>
      <c r="EE776" s="50"/>
      <c r="EF776" s="50"/>
      <c r="EG776" s="50"/>
      <c r="EH776" s="50"/>
      <c r="EI776" s="50"/>
      <c r="EJ776" s="50"/>
      <c r="EK776" s="50"/>
      <c r="EL776" s="50"/>
      <c r="EM776" s="50"/>
      <c r="EN776" s="50"/>
      <c r="EO776" s="50"/>
      <c r="EP776" s="50"/>
      <c r="EQ776" s="50"/>
      <c r="ER776" s="50"/>
      <c r="ES776" s="50"/>
      <c r="ET776" s="50"/>
      <c r="EU776" s="50"/>
      <c r="EV776" s="50"/>
      <c r="EW776" s="50"/>
      <c r="EX776" s="50"/>
      <c r="EY776" s="50"/>
      <c r="EZ776" s="50"/>
      <c r="FA776" s="50"/>
      <c r="FB776" s="50"/>
      <c r="FC776" s="50"/>
      <c r="FD776" s="50"/>
      <c r="FE776" s="50"/>
      <c r="FF776" s="50"/>
      <c r="FG776" s="50"/>
      <c r="FH776" s="50"/>
      <c r="FI776" s="50"/>
      <c r="FJ776" s="50"/>
      <c r="FK776" s="50"/>
      <c r="FL776" s="50"/>
      <c r="FM776" s="50"/>
      <c r="FN776" s="50"/>
      <c r="FO776" s="50"/>
      <c r="FP776" s="50"/>
      <c r="FQ776" s="50"/>
      <c r="FR776" s="50"/>
      <c r="FS776" s="50"/>
      <c r="FT776" s="50"/>
      <c r="FU776" s="50"/>
    </row>
    <row r="777" spans="1:177" s="103" customFormat="1" ht="21" customHeight="1" x14ac:dyDescent="0.2">
      <c r="A777" s="50"/>
      <c r="B777" s="51">
        <v>109</v>
      </c>
      <c r="C777" s="73" t="s">
        <v>42</v>
      </c>
      <c r="D777" s="127">
        <v>16510</v>
      </c>
      <c r="E777" s="73" t="s">
        <v>991</v>
      </c>
      <c r="F777" s="72" t="s">
        <v>928</v>
      </c>
      <c r="G777" s="169">
        <v>43497</v>
      </c>
      <c r="H777" s="56" t="str">
        <f t="shared" si="895"/>
        <v>5 AÑOS</v>
      </c>
      <c r="I777" s="57">
        <v>7822.9623119463167</v>
      </c>
      <c r="J777" s="58"/>
      <c r="K777" s="58"/>
      <c r="L777" s="59"/>
      <c r="M777" s="60">
        <v>4.0000000000000002E-4</v>
      </c>
      <c r="N777" s="61">
        <f t="shared" si="901"/>
        <v>312.91849247785268</v>
      </c>
      <c r="O777" s="58">
        <f t="shared" si="902"/>
        <v>8135.8808044241696</v>
      </c>
      <c r="P777" s="61">
        <f t="shared" si="945"/>
        <v>16271.761608848339</v>
      </c>
      <c r="Q777" s="61">
        <f t="shared" si="946"/>
        <v>12203.821206636254</v>
      </c>
      <c r="R777" s="61">
        <f t="shared" si="947"/>
        <v>4067.9404022120848</v>
      </c>
      <c r="S777" s="61">
        <f t="shared" si="948"/>
        <v>542.39205362827795</v>
      </c>
      <c r="T777" s="58">
        <f t="shared" si="949"/>
        <v>622.61183835990016</v>
      </c>
      <c r="U777" s="61">
        <f t="shared" si="950"/>
        <v>6101.910603318127</v>
      </c>
      <c r="V777" s="58">
        <f t="shared" si="951"/>
        <v>2033.9702011060424</v>
      </c>
      <c r="W777" s="62">
        <v>0</v>
      </c>
      <c r="X777" s="63">
        <f t="shared" si="903"/>
        <v>0</v>
      </c>
      <c r="Y777" s="61">
        <v>1077.5681930618007</v>
      </c>
      <c r="Z777" s="61">
        <v>0</v>
      </c>
      <c r="AA777" s="61">
        <f t="shared" si="904"/>
        <v>2033.9702011060424</v>
      </c>
      <c r="AB777" s="61">
        <f t="shared" si="905"/>
        <v>406.79404022120849</v>
      </c>
      <c r="AC777" s="61">
        <v>2542.6980454117233</v>
      </c>
      <c r="AD777" s="61">
        <v>1631.8967589332165</v>
      </c>
      <c r="AE777" s="61">
        <v>965.04834945784535</v>
      </c>
      <c r="AF777" s="61">
        <v>0</v>
      </c>
      <c r="AG777" s="61">
        <f t="shared" si="906"/>
        <v>561.3757755052676</v>
      </c>
      <c r="AH777" s="64"/>
      <c r="AI777" s="64"/>
      <c r="AJ777" s="51">
        <v>109</v>
      </c>
      <c r="AK777" s="73" t="s">
        <v>42</v>
      </c>
      <c r="AL777" s="127">
        <v>16510</v>
      </c>
      <c r="AM777" s="73" t="s">
        <v>991</v>
      </c>
      <c r="AN777" s="72" t="s">
        <v>928</v>
      </c>
      <c r="AO777" s="65">
        <f t="shared" si="933"/>
        <v>146445.85447963505</v>
      </c>
      <c r="AP777" s="65">
        <f t="shared" si="934"/>
        <v>48815.284826545016</v>
      </c>
      <c r="AQ777" s="65">
        <f t="shared" si="935"/>
        <v>0</v>
      </c>
      <c r="AR777" s="65">
        <f t="shared" si="936"/>
        <v>12930.818316741608</v>
      </c>
      <c r="AS777" s="65">
        <f t="shared" si="937"/>
        <v>0</v>
      </c>
      <c r="AT777" s="65">
        <f t="shared" si="938"/>
        <v>24407.642413272508</v>
      </c>
      <c r="AU777" s="65">
        <f t="shared" si="939"/>
        <v>4881.5284826545021</v>
      </c>
      <c r="AV777" s="65">
        <f t="shared" si="940"/>
        <v>30512.376544940678</v>
      </c>
      <c r="AW777" s="65">
        <f t="shared" si="941"/>
        <v>19582.761107198596</v>
      </c>
      <c r="AX777" s="65">
        <f t="shared" si="942"/>
        <v>11580.580193494145</v>
      </c>
      <c r="AY777" s="65">
        <f t="shared" si="943"/>
        <v>0</v>
      </c>
      <c r="AZ777" s="65">
        <f t="shared" si="944"/>
        <v>6736.5093060632116</v>
      </c>
      <c r="BA777" s="50"/>
      <c r="BB777" s="64"/>
      <c r="BC777" s="66"/>
      <c r="BD777" s="66"/>
      <c r="BE777" s="66"/>
      <c r="BF777" s="50"/>
      <c r="BG777" s="50"/>
      <c r="BH777" s="50"/>
      <c r="BI777" s="50"/>
      <c r="BJ777" s="50"/>
      <c r="BK777" s="50"/>
      <c r="BL777" s="50"/>
      <c r="BM777" s="50"/>
      <c r="BN777" s="50"/>
      <c r="BO777" s="50"/>
      <c r="BP777" s="50"/>
      <c r="BQ777" s="50"/>
      <c r="BR777" s="50"/>
      <c r="BS777" s="50"/>
      <c r="BT777" s="50"/>
      <c r="BU777" s="50"/>
      <c r="BV777" s="50"/>
      <c r="BW777" s="50"/>
      <c r="BX777" s="50"/>
      <c r="BY777" s="50"/>
      <c r="BZ777" s="50"/>
      <c r="CA777" s="50"/>
      <c r="CB777" s="50"/>
      <c r="CC777" s="50"/>
      <c r="CD777" s="50"/>
      <c r="CE777" s="50"/>
      <c r="CF777" s="50"/>
      <c r="CG777" s="50"/>
      <c r="CH777" s="50"/>
      <c r="CI777" s="50"/>
      <c r="CJ777" s="50"/>
      <c r="CK777" s="50"/>
      <c r="CL777" s="50"/>
      <c r="CM777" s="50"/>
      <c r="CN777" s="50"/>
      <c r="CO777" s="50"/>
      <c r="CP777" s="50"/>
      <c r="CQ777" s="50"/>
      <c r="CR777" s="50"/>
      <c r="CS777" s="50"/>
      <c r="CT777" s="50"/>
      <c r="CU777" s="50"/>
      <c r="CV777" s="50"/>
      <c r="CW777" s="50"/>
      <c r="CX777" s="50"/>
      <c r="CY777" s="50"/>
      <c r="CZ777" s="50"/>
      <c r="DA777" s="50"/>
      <c r="DB777" s="50"/>
      <c r="DC777" s="50"/>
      <c r="DD777" s="50"/>
      <c r="DE777" s="50"/>
      <c r="DF777" s="50"/>
      <c r="DG777" s="50"/>
      <c r="DH777" s="50"/>
      <c r="DI777" s="50"/>
      <c r="DJ777" s="50"/>
      <c r="DK777" s="50"/>
      <c r="DL777" s="50"/>
      <c r="DM777" s="50"/>
      <c r="DN777" s="50"/>
      <c r="DO777" s="50"/>
      <c r="DP777" s="50"/>
      <c r="DQ777" s="50"/>
      <c r="DR777" s="50"/>
      <c r="DS777" s="50"/>
      <c r="DT777" s="50"/>
      <c r="DU777" s="50"/>
      <c r="DV777" s="50"/>
      <c r="DW777" s="50"/>
      <c r="DX777" s="50"/>
      <c r="DY777" s="50"/>
      <c r="DZ777" s="50"/>
      <c r="EA777" s="50"/>
      <c r="EB777" s="50"/>
      <c r="EC777" s="50"/>
      <c r="ED777" s="50"/>
      <c r="EE777" s="50"/>
      <c r="EF777" s="50"/>
      <c r="EG777" s="50"/>
      <c r="EH777" s="50"/>
      <c r="EI777" s="50"/>
      <c r="EJ777" s="50"/>
      <c r="EK777" s="50"/>
      <c r="EL777" s="50"/>
      <c r="EM777" s="50"/>
      <c r="EN777" s="50"/>
      <c r="EO777" s="50"/>
      <c r="EP777" s="50"/>
      <c r="EQ777" s="50"/>
      <c r="ER777" s="50"/>
      <c r="ES777" s="50"/>
      <c r="ET777" s="50"/>
      <c r="EU777" s="50"/>
      <c r="EV777" s="50"/>
      <c r="EW777" s="50"/>
      <c r="EX777" s="50"/>
      <c r="EY777" s="50"/>
      <c r="EZ777" s="50"/>
      <c r="FA777" s="50"/>
      <c r="FB777" s="50"/>
      <c r="FC777" s="50"/>
      <c r="FD777" s="50"/>
      <c r="FE777" s="50"/>
      <c r="FF777" s="50"/>
      <c r="FG777" s="50"/>
      <c r="FH777" s="50"/>
      <c r="FI777" s="50"/>
      <c r="FJ777" s="50"/>
      <c r="FK777" s="50"/>
      <c r="FL777" s="50"/>
      <c r="FM777" s="50"/>
      <c r="FN777" s="50"/>
      <c r="FO777" s="50"/>
      <c r="FP777" s="50"/>
      <c r="FQ777" s="50"/>
      <c r="FR777" s="50"/>
      <c r="FS777" s="50"/>
      <c r="FT777" s="50"/>
      <c r="FU777" s="50"/>
    </row>
    <row r="778" spans="1:177" s="103" customFormat="1" ht="21" customHeight="1" x14ac:dyDescent="0.2">
      <c r="A778" s="50"/>
      <c r="B778" s="51">
        <v>110</v>
      </c>
      <c r="C778" s="73" t="s">
        <v>42</v>
      </c>
      <c r="D778" s="67">
        <v>17048</v>
      </c>
      <c r="E778" s="72" t="s">
        <v>992</v>
      </c>
      <c r="F778" s="72" t="s">
        <v>928</v>
      </c>
      <c r="G778" s="55">
        <v>37668</v>
      </c>
      <c r="H778" s="56" t="str">
        <f t="shared" si="895"/>
        <v>21 AÑOS</v>
      </c>
      <c r="I778" s="57">
        <v>7822.9623119463167</v>
      </c>
      <c r="J778" s="58"/>
      <c r="K778" s="58"/>
      <c r="L778" s="59"/>
      <c r="M778" s="60">
        <v>4.0000000000000002E-4</v>
      </c>
      <c r="N778" s="61">
        <f t="shared" si="901"/>
        <v>312.91849247785268</v>
      </c>
      <c r="O778" s="58">
        <f t="shared" si="902"/>
        <v>8135.8808044241696</v>
      </c>
      <c r="P778" s="61">
        <f t="shared" si="945"/>
        <v>16271.761608848339</v>
      </c>
      <c r="Q778" s="61">
        <f t="shared" si="946"/>
        <v>12203.821206636254</v>
      </c>
      <c r="R778" s="61">
        <f t="shared" si="947"/>
        <v>4067.9404022120848</v>
      </c>
      <c r="S778" s="61">
        <f t="shared" si="948"/>
        <v>542.39205362827795</v>
      </c>
      <c r="T778" s="58">
        <f t="shared" si="949"/>
        <v>622.61183835990016</v>
      </c>
      <c r="U778" s="61">
        <f t="shared" si="950"/>
        <v>6101.910603318127</v>
      </c>
      <c r="V778" s="58">
        <f t="shared" si="951"/>
        <v>2033.9702011060424</v>
      </c>
      <c r="W778" s="62">
        <v>0</v>
      </c>
      <c r="X778" s="63">
        <f t="shared" si="903"/>
        <v>0</v>
      </c>
      <c r="Y778" s="61">
        <v>1077.5681930618007</v>
      </c>
      <c r="Z778" s="61">
        <v>0</v>
      </c>
      <c r="AA778" s="61">
        <f t="shared" si="904"/>
        <v>2033.9702011060424</v>
      </c>
      <c r="AB778" s="61">
        <f t="shared" si="905"/>
        <v>406.79404022120849</v>
      </c>
      <c r="AC778" s="61">
        <v>2542.6980454117233</v>
      </c>
      <c r="AD778" s="61">
        <v>1631.8967589332165</v>
      </c>
      <c r="AE778" s="61">
        <v>965.04834945784535</v>
      </c>
      <c r="AF778" s="61">
        <v>0</v>
      </c>
      <c r="AG778" s="61">
        <f t="shared" si="906"/>
        <v>561.3757755052676</v>
      </c>
      <c r="AH778" s="64"/>
      <c r="AI778" s="64"/>
      <c r="AJ778" s="51">
        <v>110</v>
      </c>
      <c r="AK778" s="73" t="s">
        <v>42</v>
      </c>
      <c r="AL778" s="67">
        <v>17048</v>
      </c>
      <c r="AM778" s="72" t="s">
        <v>992</v>
      </c>
      <c r="AN778" s="72" t="s">
        <v>928</v>
      </c>
      <c r="AO778" s="65">
        <f t="shared" si="933"/>
        <v>146445.85447963505</v>
      </c>
      <c r="AP778" s="65">
        <f t="shared" si="934"/>
        <v>48815.284826545016</v>
      </c>
      <c r="AQ778" s="65">
        <f t="shared" si="935"/>
        <v>0</v>
      </c>
      <c r="AR778" s="65">
        <f t="shared" si="936"/>
        <v>12930.818316741608</v>
      </c>
      <c r="AS778" s="65">
        <f t="shared" si="937"/>
        <v>0</v>
      </c>
      <c r="AT778" s="65">
        <f t="shared" si="938"/>
        <v>24407.642413272508</v>
      </c>
      <c r="AU778" s="65">
        <f t="shared" si="939"/>
        <v>4881.5284826545021</v>
      </c>
      <c r="AV778" s="65">
        <f t="shared" si="940"/>
        <v>30512.376544940678</v>
      </c>
      <c r="AW778" s="65">
        <f t="shared" si="941"/>
        <v>19582.761107198596</v>
      </c>
      <c r="AX778" s="65">
        <f t="shared" si="942"/>
        <v>11580.580193494145</v>
      </c>
      <c r="AY778" s="65">
        <f t="shared" si="943"/>
        <v>0</v>
      </c>
      <c r="AZ778" s="65">
        <f t="shared" si="944"/>
        <v>6736.5093060632116</v>
      </c>
      <c r="BA778" s="50"/>
      <c r="BB778" s="64"/>
      <c r="BC778" s="66"/>
      <c r="BD778" s="66"/>
      <c r="BE778" s="66"/>
      <c r="BF778" s="50"/>
      <c r="BG778" s="50"/>
      <c r="BH778" s="50"/>
      <c r="BI778" s="50"/>
      <c r="BJ778" s="50"/>
      <c r="BK778" s="50"/>
      <c r="BL778" s="50"/>
      <c r="BM778" s="50"/>
      <c r="BN778" s="50"/>
      <c r="BO778" s="50"/>
      <c r="BP778" s="50"/>
      <c r="BQ778" s="50"/>
      <c r="BR778" s="50"/>
      <c r="BS778" s="50"/>
      <c r="BT778" s="50"/>
      <c r="BU778" s="50"/>
      <c r="BV778" s="50"/>
      <c r="BW778" s="50"/>
      <c r="BX778" s="50"/>
      <c r="BY778" s="50"/>
      <c r="BZ778" s="50"/>
      <c r="CA778" s="50"/>
      <c r="CB778" s="50"/>
      <c r="CC778" s="50"/>
      <c r="CD778" s="50"/>
      <c r="CE778" s="50"/>
      <c r="CF778" s="50"/>
      <c r="CG778" s="50"/>
      <c r="CH778" s="50"/>
      <c r="CI778" s="50"/>
      <c r="CJ778" s="50"/>
      <c r="CK778" s="50"/>
      <c r="CL778" s="50"/>
      <c r="CM778" s="50"/>
      <c r="CN778" s="50"/>
      <c r="CO778" s="50"/>
      <c r="CP778" s="50"/>
      <c r="CQ778" s="50"/>
      <c r="CR778" s="50"/>
      <c r="CS778" s="50"/>
      <c r="CT778" s="50"/>
      <c r="CU778" s="50"/>
      <c r="CV778" s="50"/>
      <c r="CW778" s="50"/>
      <c r="CX778" s="50"/>
      <c r="CY778" s="50"/>
      <c r="CZ778" s="50"/>
      <c r="DA778" s="50"/>
      <c r="DB778" s="50"/>
      <c r="DC778" s="50"/>
      <c r="DD778" s="50"/>
      <c r="DE778" s="50"/>
      <c r="DF778" s="50"/>
      <c r="DG778" s="50"/>
      <c r="DH778" s="50"/>
      <c r="DI778" s="50"/>
      <c r="DJ778" s="50"/>
      <c r="DK778" s="50"/>
      <c r="DL778" s="50"/>
      <c r="DM778" s="50"/>
      <c r="DN778" s="50"/>
      <c r="DO778" s="50"/>
      <c r="DP778" s="50"/>
      <c r="DQ778" s="50"/>
      <c r="DR778" s="50"/>
      <c r="DS778" s="50"/>
      <c r="DT778" s="50"/>
      <c r="DU778" s="50"/>
      <c r="DV778" s="50"/>
      <c r="DW778" s="50"/>
      <c r="DX778" s="50"/>
      <c r="DY778" s="50"/>
      <c r="DZ778" s="50"/>
      <c r="EA778" s="50"/>
      <c r="EB778" s="50"/>
      <c r="EC778" s="50"/>
      <c r="ED778" s="50"/>
      <c r="EE778" s="50"/>
      <c r="EF778" s="50"/>
      <c r="EG778" s="50"/>
      <c r="EH778" s="50"/>
      <c r="EI778" s="50"/>
      <c r="EJ778" s="50"/>
      <c r="EK778" s="50"/>
      <c r="EL778" s="50"/>
      <c r="EM778" s="50"/>
      <c r="EN778" s="50"/>
      <c r="EO778" s="50"/>
      <c r="EP778" s="50"/>
      <c r="EQ778" s="50"/>
      <c r="ER778" s="50"/>
      <c r="ES778" s="50"/>
      <c r="ET778" s="50"/>
      <c r="EU778" s="50"/>
      <c r="EV778" s="50"/>
      <c r="EW778" s="50"/>
      <c r="EX778" s="50"/>
      <c r="EY778" s="50"/>
      <c r="EZ778" s="50"/>
      <c r="FA778" s="50"/>
      <c r="FB778" s="50"/>
      <c r="FC778" s="50"/>
      <c r="FD778" s="50"/>
      <c r="FE778" s="50"/>
      <c r="FF778" s="50"/>
      <c r="FG778" s="50"/>
      <c r="FH778" s="50"/>
      <c r="FI778" s="50"/>
      <c r="FJ778" s="50"/>
      <c r="FK778" s="50"/>
      <c r="FL778" s="50"/>
      <c r="FM778" s="50"/>
      <c r="FN778" s="50"/>
      <c r="FO778" s="50"/>
      <c r="FP778" s="50"/>
      <c r="FQ778" s="50"/>
      <c r="FR778" s="50"/>
      <c r="FS778" s="50"/>
      <c r="FT778" s="50"/>
      <c r="FU778" s="50"/>
    </row>
    <row r="779" spans="1:177" ht="21" customHeight="1" x14ac:dyDescent="0.2">
      <c r="B779" s="51">
        <v>111</v>
      </c>
      <c r="C779" s="73" t="s">
        <v>42</v>
      </c>
      <c r="D779" s="127">
        <v>16458</v>
      </c>
      <c r="E779" s="192" t="s">
        <v>993</v>
      </c>
      <c r="F779" s="72" t="s">
        <v>928</v>
      </c>
      <c r="G779" s="189">
        <v>42675</v>
      </c>
      <c r="H779" s="100" t="str">
        <f t="shared" si="895"/>
        <v>8 AÑOS</v>
      </c>
      <c r="I779" s="57">
        <v>7822.9623119463167</v>
      </c>
      <c r="J779" s="58"/>
      <c r="K779" s="58"/>
      <c r="L779" s="59"/>
      <c r="M779" s="60">
        <v>4.0000000000000002E-4</v>
      </c>
      <c r="N779" s="61">
        <f t="shared" si="901"/>
        <v>312.91849247785268</v>
      </c>
      <c r="O779" s="58">
        <f t="shared" si="902"/>
        <v>8135.8808044241696</v>
      </c>
      <c r="P779" s="61">
        <f t="shared" si="945"/>
        <v>16271.761608848339</v>
      </c>
      <c r="Q779" s="61">
        <f t="shared" si="946"/>
        <v>12203.821206636254</v>
      </c>
      <c r="R779" s="61">
        <f t="shared" si="947"/>
        <v>4067.9404022120848</v>
      </c>
      <c r="S779" s="61">
        <f t="shared" si="948"/>
        <v>542.39205362827795</v>
      </c>
      <c r="T779" s="58">
        <f t="shared" si="949"/>
        <v>622.61183835990016</v>
      </c>
      <c r="U779" s="61">
        <f t="shared" si="950"/>
        <v>6101.910603318127</v>
      </c>
      <c r="V779" s="58">
        <f t="shared" si="951"/>
        <v>2033.9702011060424</v>
      </c>
      <c r="W779" s="62">
        <v>0</v>
      </c>
      <c r="X779" s="63">
        <f t="shared" si="903"/>
        <v>0</v>
      </c>
      <c r="Y779" s="61">
        <v>1077.5681930618007</v>
      </c>
      <c r="Z779" s="61">
        <v>0</v>
      </c>
      <c r="AA779" s="61">
        <f t="shared" si="904"/>
        <v>2033.9702011060424</v>
      </c>
      <c r="AB779" s="61">
        <f t="shared" si="905"/>
        <v>406.79404022120849</v>
      </c>
      <c r="AC779" s="61">
        <v>2542.6980454117233</v>
      </c>
      <c r="AD779" s="61">
        <v>1631.8967589332165</v>
      </c>
      <c r="AE779" s="61">
        <v>965.04834945784535</v>
      </c>
      <c r="AF779" s="61">
        <v>0</v>
      </c>
      <c r="AG779" s="61">
        <f t="shared" si="906"/>
        <v>561.3757755052676</v>
      </c>
      <c r="AH779" s="64"/>
      <c r="AI779" s="64"/>
      <c r="AJ779" s="51">
        <v>111</v>
      </c>
      <c r="AK779" s="73" t="s">
        <v>42</v>
      </c>
      <c r="AL779" s="127">
        <v>16458</v>
      </c>
      <c r="AM779" s="192" t="s">
        <v>993</v>
      </c>
      <c r="AN779" s="72" t="s">
        <v>928</v>
      </c>
      <c r="AO779" s="65">
        <f t="shared" si="933"/>
        <v>146445.85447963505</v>
      </c>
      <c r="AP779" s="65">
        <f t="shared" si="934"/>
        <v>48815.284826545016</v>
      </c>
      <c r="AQ779" s="65">
        <f t="shared" si="935"/>
        <v>0</v>
      </c>
      <c r="AR779" s="65">
        <f t="shared" si="936"/>
        <v>12930.818316741608</v>
      </c>
      <c r="AS779" s="65">
        <f t="shared" si="937"/>
        <v>0</v>
      </c>
      <c r="AT779" s="65">
        <f t="shared" si="938"/>
        <v>24407.642413272508</v>
      </c>
      <c r="AU779" s="65">
        <f t="shared" si="939"/>
        <v>4881.5284826545021</v>
      </c>
      <c r="AV779" s="65">
        <f t="shared" si="940"/>
        <v>30512.376544940678</v>
      </c>
      <c r="AW779" s="65">
        <f t="shared" si="941"/>
        <v>19582.761107198596</v>
      </c>
      <c r="AX779" s="65">
        <f t="shared" si="942"/>
        <v>11580.580193494145</v>
      </c>
      <c r="AY779" s="65">
        <f t="shared" si="943"/>
        <v>0</v>
      </c>
      <c r="AZ779" s="65">
        <f t="shared" si="944"/>
        <v>6736.5093060632116</v>
      </c>
      <c r="BB779" s="64"/>
      <c r="BC779" s="66"/>
      <c r="BD779" s="66"/>
      <c r="BE779" s="66"/>
    </row>
    <row r="780" spans="1:177" ht="21" customHeight="1" x14ac:dyDescent="0.2">
      <c r="B780" s="51">
        <v>112</v>
      </c>
      <c r="C780" s="73" t="s">
        <v>42</v>
      </c>
      <c r="D780" s="67"/>
      <c r="E780" s="73"/>
      <c r="F780" s="72" t="s">
        <v>928</v>
      </c>
      <c r="G780" s="55">
        <v>43678</v>
      </c>
      <c r="H780" s="56" t="str">
        <f xml:space="preserve"> CONCATENATE(DATEDIF(G780,H$5,"Y")," AÑOS")</f>
        <v>5 AÑOS</v>
      </c>
      <c r="I780" s="57">
        <v>7822.9623119463167</v>
      </c>
      <c r="J780" s="58"/>
      <c r="K780" s="58"/>
      <c r="L780" s="59"/>
      <c r="M780" s="60">
        <v>4.0000000000000002E-4</v>
      </c>
      <c r="N780" s="61">
        <f>I780*0.04</f>
        <v>312.91849247785268</v>
      </c>
      <c r="O780" s="58">
        <f>I780+N780</f>
        <v>8135.8808044241696</v>
      </c>
      <c r="P780" s="61">
        <f>O780*2</f>
        <v>16271.761608848339</v>
      </c>
      <c r="Q780" s="61">
        <f>P780*0.75</f>
        <v>12203.821206636254</v>
      </c>
      <c r="R780" s="61">
        <f>P780*0.25</f>
        <v>4067.9404022120848</v>
      </c>
      <c r="S780" s="61">
        <f>(P780/30)</f>
        <v>542.39205362827795</v>
      </c>
      <c r="T780" s="58">
        <f>S780*1.1479</f>
        <v>622.61183835990016</v>
      </c>
      <c r="U780" s="61">
        <f>O780*0.75</f>
        <v>6101.910603318127</v>
      </c>
      <c r="V780" s="58">
        <f>O780*0.25</f>
        <v>2033.9702011060424</v>
      </c>
      <c r="W780" s="62">
        <v>0</v>
      </c>
      <c r="X780" s="63">
        <f>P780*W780</f>
        <v>0</v>
      </c>
      <c r="Y780" s="61">
        <v>1077.5681930618007</v>
      </c>
      <c r="Z780" s="61">
        <v>0</v>
      </c>
      <c r="AA780" s="61">
        <f>(S780*45)/12</f>
        <v>2033.9702011060424</v>
      </c>
      <c r="AB780" s="61">
        <f>(S780*10)*(0.45*2)/12</f>
        <v>406.79404022120849</v>
      </c>
      <c r="AC780" s="61">
        <v>2542.6980454117233</v>
      </c>
      <c r="AD780" s="61">
        <v>1631.8967589332165</v>
      </c>
      <c r="AE780" s="61">
        <v>965.04834945784535</v>
      </c>
      <c r="AF780" s="61">
        <v>0</v>
      </c>
      <c r="AG780" s="61">
        <f>(P780+AA780+AB780)*0.03</f>
        <v>561.3757755052676</v>
      </c>
      <c r="AH780" s="64"/>
      <c r="AI780" s="64"/>
      <c r="AJ780" s="51">
        <v>112</v>
      </c>
      <c r="AK780" s="73" t="s">
        <v>42</v>
      </c>
      <c r="AL780" s="67"/>
      <c r="AM780" s="73"/>
      <c r="AN780" s="72" t="s">
        <v>928</v>
      </c>
      <c r="AO780" s="65">
        <f t="shared" si="933"/>
        <v>146445.85447963505</v>
      </c>
      <c r="AP780" s="65">
        <f t="shared" si="934"/>
        <v>48815.284826545016</v>
      </c>
      <c r="AQ780" s="65">
        <f t="shared" si="935"/>
        <v>0</v>
      </c>
      <c r="AR780" s="65">
        <f t="shared" si="936"/>
        <v>12930.818316741608</v>
      </c>
      <c r="AS780" s="65">
        <f t="shared" si="937"/>
        <v>0</v>
      </c>
      <c r="AT780" s="65">
        <f t="shared" si="938"/>
        <v>24407.642413272508</v>
      </c>
      <c r="AU780" s="65">
        <f t="shared" si="939"/>
        <v>4881.5284826545021</v>
      </c>
      <c r="AV780" s="65">
        <f t="shared" si="940"/>
        <v>30512.376544940678</v>
      </c>
      <c r="AW780" s="65">
        <f t="shared" si="941"/>
        <v>19582.761107198596</v>
      </c>
      <c r="AX780" s="65">
        <f t="shared" si="942"/>
        <v>11580.580193494145</v>
      </c>
      <c r="AY780" s="65">
        <f t="shared" si="943"/>
        <v>0</v>
      </c>
      <c r="AZ780" s="65">
        <f t="shared" si="944"/>
        <v>6736.5093060632116</v>
      </c>
      <c r="BB780" s="64"/>
      <c r="BC780" s="66"/>
      <c r="BD780" s="66"/>
      <c r="BE780" s="66"/>
    </row>
    <row r="781" spans="1:177" s="364" customFormat="1" ht="21" customHeight="1" x14ac:dyDescent="0.2">
      <c r="B781" s="369">
        <v>113</v>
      </c>
      <c r="C781" s="372" t="s">
        <v>42</v>
      </c>
      <c r="D781" s="365"/>
      <c r="E781" s="442" t="s">
        <v>55</v>
      </c>
      <c r="F781" s="371" t="s">
        <v>928</v>
      </c>
      <c r="G781" s="384"/>
      <c r="H781" s="56"/>
      <c r="I781" s="57">
        <v>7822.9623119463167</v>
      </c>
      <c r="J781" s="58"/>
      <c r="K781" s="58"/>
      <c r="L781" s="59"/>
      <c r="M781" s="60">
        <v>4.0000000000000002E-4</v>
      </c>
      <c r="N781" s="61">
        <f>I781*0.04</f>
        <v>312.91849247785268</v>
      </c>
      <c r="O781" s="58">
        <f>I781+N781</f>
        <v>8135.8808044241696</v>
      </c>
      <c r="P781" s="61">
        <f>O781*2</f>
        <v>16271.761608848339</v>
      </c>
      <c r="Q781" s="61">
        <f>P781*0.75</f>
        <v>12203.821206636254</v>
      </c>
      <c r="R781" s="61">
        <f>P781*0.25</f>
        <v>4067.9404022120848</v>
      </c>
      <c r="S781" s="61">
        <f>(P781/30)</f>
        <v>542.39205362827795</v>
      </c>
      <c r="T781" s="58">
        <f>S781*1.1479</f>
        <v>622.61183835990016</v>
      </c>
      <c r="U781" s="61">
        <f>O781*0.75</f>
        <v>6101.910603318127</v>
      </c>
      <c r="V781" s="58">
        <f>O781*0.25</f>
        <v>2033.9702011060424</v>
      </c>
      <c r="W781" s="62">
        <v>0</v>
      </c>
      <c r="X781" s="63">
        <f>P781*W781</f>
        <v>0</v>
      </c>
      <c r="Y781" s="61">
        <v>1077.5681930618007</v>
      </c>
      <c r="Z781" s="61">
        <v>0</v>
      </c>
      <c r="AA781" s="61">
        <f>(S781*45)/12</f>
        <v>2033.9702011060424</v>
      </c>
      <c r="AB781" s="61">
        <f>(S781*10)*(0.45*2)/12</f>
        <v>406.79404022120849</v>
      </c>
      <c r="AC781" s="61">
        <v>2542.6980454117233</v>
      </c>
      <c r="AD781" s="61">
        <v>1631.8967589332165</v>
      </c>
      <c r="AE781" s="61">
        <v>965.04834945784535</v>
      </c>
      <c r="AF781" s="61">
        <v>0</v>
      </c>
      <c r="AG781" s="61">
        <f>(P781+AA781+AB781)*0.03</f>
        <v>561.3757755052676</v>
      </c>
      <c r="AH781" s="64"/>
      <c r="AI781" s="64"/>
      <c r="AJ781" s="369">
        <v>113</v>
      </c>
      <c r="AK781" s="372" t="s">
        <v>42</v>
      </c>
      <c r="AL781" s="365"/>
      <c r="AM781" s="442" t="s">
        <v>55</v>
      </c>
      <c r="AN781" s="371" t="s">
        <v>928</v>
      </c>
      <c r="AO781" s="368">
        <f t="shared" ref="AO781:AP787" si="952">Q781*9.5</f>
        <v>115936.30146304441</v>
      </c>
      <c r="AP781" s="368">
        <f t="shared" si="952"/>
        <v>38645.433821014805</v>
      </c>
      <c r="AQ781" s="368">
        <f t="shared" ref="AQ781:AZ787" si="953">X781*9.5</f>
        <v>0</v>
      </c>
      <c r="AR781" s="368">
        <f t="shared" si="953"/>
        <v>10236.897834087107</v>
      </c>
      <c r="AS781" s="368">
        <f t="shared" si="953"/>
        <v>0</v>
      </c>
      <c r="AT781" s="368">
        <f t="shared" si="953"/>
        <v>19322.716910507403</v>
      </c>
      <c r="AU781" s="368">
        <f t="shared" si="953"/>
        <v>3864.5433821014808</v>
      </c>
      <c r="AV781" s="368">
        <f t="shared" si="953"/>
        <v>24155.631431411373</v>
      </c>
      <c r="AW781" s="368">
        <f t="shared" si="953"/>
        <v>15503.019209865557</v>
      </c>
      <c r="AX781" s="368">
        <f t="shared" si="953"/>
        <v>9167.9593198495313</v>
      </c>
      <c r="AY781" s="368">
        <f t="shared" si="953"/>
        <v>0</v>
      </c>
      <c r="AZ781" s="368">
        <f t="shared" si="953"/>
        <v>5333.0698673000425</v>
      </c>
      <c r="BB781" s="64"/>
      <c r="BC781" s="66"/>
      <c r="BD781" s="66"/>
      <c r="BE781" s="66"/>
    </row>
    <row r="782" spans="1:177" s="364" customFormat="1" ht="21" customHeight="1" x14ac:dyDescent="0.2">
      <c r="B782" s="369">
        <v>114</v>
      </c>
      <c r="C782" s="372" t="s">
        <v>42</v>
      </c>
      <c r="D782" s="443"/>
      <c r="E782" s="411" t="s">
        <v>55</v>
      </c>
      <c r="F782" s="371" t="s">
        <v>928</v>
      </c>
      <c r="G782" s="384"/>
      <c r="H782" s="55"/>
      <c r="I782" s="57">
        <v>7822.9623119463167</v>
      </c>
      <c r="J782" s="58"/>
      <c r="K782" s="58"/>
      <c r="L782" s="59"/>
      <c r="M782" s="60">
        <v>4.0000000000000002E-4</v>
      </c>
      <c r="N782" s="61">
        <f t="shared" si="901"/>
        <v>312.91849247785268</v>
      </c>
      <c r="O782" s="58">
        <f t="shared" si="902"/>
        <v>8135.8808044241696</v>
      </c>
      <c r="P782" s="61">
        <f t="shared" si="945"/>
        <v>16271.761608848339</v>
      </c>
      <c r="Q782" s="61">
        <f t="shared" si="946"/>
        <v>12203.821206636254</v>
      </c>
      <c r="R782" s="61">
        <f t="shared" si="947"/>
        <v>4067.9404022120848</v>
      </c>
      <c r="S782" s="61">
        <f t="shared" si="948"/>
        <v>542.39205362827795</v>
      </c>
      <c r="T782" s="58">
        <f t="shared" si="949"/>
        <v>622.61183835990016</v>
      </c>
      <c r="U782" s="61">
        <f t="shared" si="950"/>
        <v>6101.910603318127</v>
      </c>
      <c r="V782" s="58">
        <f t="shared" si="951"/>
        <v>2033.9702011060424</v>
      </c>
      <c r="W782" s="62">
        <v>0</v>
      </c>
      <c r="X782" s="63">
        <f t="shared" si="903"/>
        <v>0</v>
      </c>
      <c r="Y782" s="61">
        <v>1077.5681930618007</v>
      </c>
      <c r="Z782" s="61">
        <v>0</v>
      </c>
      <c r="AA782" s="61">
        <f t="shared" si="904"/>
        <v>2033.9702011060424</v>
      </c>
      <c r="AB782" s="61">
        <f t="shared" si="905"/>
        <v>406.79404022120849</v>
      </c>
      <c r="AC782" s="61">
        <v>2542.6980454117233</v>
      </c>
      <c r="AD782" s="61">
        <v>1631.8967589332165</v>
      </c>
      <c r="AE782" s="61">
        <v>965.04834945784535</v>
      </c>
      <c r="AF782" s="61">
        <v>0</v>
      </c>
      <c r="AG782" s="61">
        <f t="shared" si="906"/>
        <v>561.3757755052676</v>
      </c>
      <c r="AH782" s="64"/>
      <c r="AI782" s="64"/>
      <c r="AJ782" s="369">
        <v>114</v>
      </c>
      <c r="AK782" s="372" t="s">
        <v>42</v>
      </c>
      <c r="AL782" s="443"/>
      <c r="AM782" s="411" t="s">
        <v>55</v>
      </c>
      <c r="AN782" s="371" t="s">
        <v>928</v>
      </c>
      <c r="AO782" s="368">
        <f t="shared" si="952"/>
        <v>115936.30146304441</v>
      </c>
      <c r="AP782" s="368">
        <f t="shared" si="952"/>
        <v>38645.433821014805</v>
      </c>
      <c r="AQ782" s="368">
        <f t="shared" si="953"/>
        <v>0</v>
      </c>
      <c r="AR782" s="368">
        <f t="shared" si="953"/>
        <v>10236.897834087107</v>
      </c>
      <c r="AS782" s="368">
        <f t="shared" si="953"/>
        <v>0</v>
      </c>
      <c r="AT782" s="368">
        <f t="shared" si="953"/>
        <v>19322.716910507403</v>
      </c>
      <c r="AU782" s="368">
        <f t="shared" si="953"/>
        <v>3864.5433821014808</v>
      </c>
      <c r="AV782" s="368">
        <f t="shared" si="953"/>
        <v>24155.631431411373</v>
      </c>
      <c r="AW782" s="368">
        <f t="shared" si="953"/>
        <v>15503.019209865557</v>
      </c>
      <c r="AX782" s="368">
        <f t="shared" si="953"/>
        <v>9167.9593198495313</v>
      </c>
      <c r="AY782" s="368">
        <f t="shared" si="953"/>
        <v>0</v>
      </c>
      <c r="AZ782" s="368">
        <f t="shared" si="953"/>
        <v>5333.0698673000425</v>
      </c>
      <c r="BB782" s="64"/>
      <c r="BC782" s="66"/>
      <c r="BD782" s="66"/>
      <c r="BE782" s="66"/>
    </row>
    <row r="783" spans="1:177" s="364" customFormat="1" ht="21" customHeight="1" x14ac:dyDescent="0.2">
      <c r="B783" s="369">
        <v>115</v>
      </c>
      <c r="C783" s="372" t="s">
        <v>42</v>
      </c>
      <c r="D783" s="365"/>
      <c r="E783" s="442" t="s">
        <v>55</v>
      </c>
      <c r="F783" s="371" t="s">
        <v>928</v>
      </c>
      <c r="G783" s="55"/>
      <c r="H783" s="56"/>
      <c r="I783" s="57">
        <v>7822.9623119463167</v>
      </c>
      <c r="J783" s="58"/>
      <c r="K783" s="58"/>
      <c r="L783" s="59"/>
      <c r="M783" s="60">
        <v>4.0000000000000002E-4</v>
      </c>
      <c r="N783" s="61">
        <f t="shared" si="901"/>
        <v>312.91849247785268</v>
      </c>
      <c r="O783" s="58">
        <f t="shared" si="902"/>
        <v>8135.8808044241696</v>
      </c>
      <c r="P783" s="61">
        <f t="shared" si="945"/>
        <v>16271.761608848339</v>
      </c>
      <c r="Q783" s="61">
        <f t="shared" si="946"/>
        <v>12203.821206636254</v>
      </c>
      <c r="R783" s="61">
        <f t="shared" si="947"/>
        <v>4067.9404022120848</v>
      </c>
      <c r="S783" s="61">
        <f t="shared" si="948"/>
        <v>542.39205362827795</v>
      </c>
      <c r="T783" s="58">
        <f t="shared" si="949"/>
        <v>622.61183835990016</v>
      </c>
      <c r="U783" s="61">
        <f t="shared" si="950"/>
        <v>6101.910603318127</v>
      </c>
      <c r="V783" s="58">
        <f t="shared" si="951"/>
        <v>2033.9702011060424</v>
      </c>
      <c r="W783" s="62">
        <v>0</v>
      </c>
      <c r="X783" s="63">
        <f t="shared" si="903"/>
        <v>0</v>
      </c>
      <c r="Y783" s="61">
        <v>1077.5681930618007</v>
      </c>
      <c r="Z783" s="61">
        <v>0</v>
      </c>
      <c r="AA783" s="61">
        <f t="shared" si="904"/>
        <v>2033.9702011060424</v>
      </c>
      <c r="AB783" s="61">
        <f t="shared" si="905"/>
        <v>406.79404022120849</v>
      </c>
      <c r="AC783" s="61">
        <v>2542.6980454117233</v>
      </c>
      <c r="AD783" s="61">
        <v>1631.8967589332165</v>
      </c>
      <c r="AE783" s="61">
        <v>965.04834945784535</v>
      </c>
      <c r="AF783" s="61">
        <v>0</v>
      </c>
      <c r="AG783" s="61">
        <f t="shared" si="906"/>
        <v>561.3757755052676</v>
      </c>
      <c r="AH783" s="64"/>
      <c r="AI783" s="64"/>
      <c r="AJ783" s="369">
        <v>115</v>
      </c>
      <c r="AK783" s="372" t="s">
        <v>42</v>
      </c>
      <c r="AL783" s="365"/>
      <c r="AM783" s="442" t="s">
        <v>55</v>
      </c>
      <c r="AN783" s="371" t="s">
        <v>928</v>
      </c>
      <c r="AO783" s="368">
        <f t="shared" si="952"/>
        <v>115936.30146304441</v>
      </c>
      <c r="AP783" s="368">
        <f t="shared" si="952"/>
        <v>38645.433821014805</v>
      </c>
      <c r="AQ783" s="368">
        <f t="shared" si="953"/>
        <v>0</v>
      </c>
      <c r="AR783" s="368">
        <f t="shared" si="953"/>
        <v>10236.897834087107</v>
      </c>
      <c r="AS783" s="368">
        <f t="shared" si="953"/>
        <v>0</v>
      </c>
      <c r="AT783" s="368">
        <f t="shared" si="953"/>
        <v>19322.716910507403</v>
      </c>
      <c r="AU783" s="368">
        <f t="shared" si="953"/>
        <v>3864.5433821014808</v>
      </c>
      <c r="AV783" s="368">
        <f t="shared" si="953"/>
        <v>24155.631431411373</v>
      </c>
      <c r="AW783" s="368">
        <f t="shared" si="953"/>
        <v>15503.019209865557</v>
      </c>
      <c r="AX783" s="368">
        <f t="shared" si="953"/>
        <v>9167.9593198495313</v>
      </c>
      <c r="AY783" s="368">
        <f t="shared" si="953"/>
        <v>0</v>
      </c>
      <c r="AZ783" s="368">
        <f t="shared" si="953"/>
        <v>5333.0698673000425</v>
      </c>
      <c r="BB783" s="64"/>
      <c r="BC783" s="66"/>
      <c r="BD783" s="66"/>
      <c r="BE783" s="66"/>
    </row>
    <row r="784" spans="1:177" s="364" customFormat="1" ht="21" customHeight="1" x14ac:dyDescent="0.2">
      <c r="B784" s="369">
        <v>116</v>
      </c>
      <c r="C784" s="372" t="s">
        <v>42</v>
      </c>
      <c r="D784" s="365"/>
      <c r="E784" s="442" t="s">
        <v>55</v>
      </c>
      <c r="F784" s="371" t="s">
        <v>928</v>
      </c>
      <c r="G784" s="55"/>
      <c r="H784" s="56"/>
      <c r="I784" s="57">
        <v>7822.9623119463167</v>
      </c>
      <c r="J784" s="58"/>
      <c r="K784" s="58"/>
      <c r="L784" s="59"/>
      <c r="M784" s="60">
        <v>4.0000000000000002E-4</v>
      </c>
      <c r="N784" s="61">
        <f t="shared" si="901"/>
        <v>312.91849247785268</v>
      </c>
      <c r="O784" s="58">
        <f t="shared" si="902"/>
        <v>8135.8808044241696</v>
      </c>
      <c r="P784" s="61">
        <f t="shared" si="945"/>
        <v>16271.761608848339</v>
      </c>
      <c r="Q784" s="61">
        <f t="shared" si="946"/>
        <v>12203.821206636254</v>
      </c>
      <c r="R784" s="61">
        <f t="shared" si="947"/>
        <v>4067.9404022120848</v>
      </c>
      <c r="S784" s="61">
        <f t="shared" si="948"/>
        <v>542.39205362827795</v>
      </c>
      <c r="T784" s="58">
        <f t="shared" si="949"/>
        <v>622.61183835990016</v>
      </c>
      <c r="U784" s="61">
        <f t="shared" si="950"/>
        <v>6101.910603318127</v>
      </c>
      <c r="V784" s="58">
        <f t="shared" si="951"/>
        <v>2033.9702011060424</v>
      </c>
      <c r="W784" s="62">
        <v>0</v>
      </c>
      <c r="X784" s="63">
        <f t="shared" si="903"/>
        <v>0</v>
      </c>
      <c r="Y784" s="61">
        <v>1077.5681930618007</v>
      </c>
      <c r="Z784" s="61">
        <v>0</v>
      </c>
      <c r="AA784" s="61">
        <f t="shared" si="904"/>
        <v>2033.9702011060424</v>
      </c>
      <c r="AB784" s="61">
        <f t="shared" si="905"/>
        <v>406.79404022120849</v>
      </c>
      <c r="AC784" s="61">
        <v>2542.6980454117233</v>
      </c>
      <c r="AD784" s="61">
        <v>1631.8967589332165</v>
      </c>
      <c r="AE784" s="61">
        <v>965.04834945784535</v>
      </c>
      <c r="AF784" s="61">
        <v>0</v>
      </c>
      <c r="AG784" s="61">
        <f t="shared" si="906"/>
        <v>561.3757755052676</v>
      </c>
      <c r="AH784" s="64"/>
      <c r="AI784" s="64"/>
      <c r="AJ784" s="369">
        <v>116</v>
      </c>
      <c r="AK784" s="372" t="s">
        <v>42</v>
      </c>
      <c r="AL784" s="365"/>
      <c r="AM784" s="442" t="s">
        <v>55</v>
      </c>
      <c r="AN784" s="371" t="s">
        <v>928</v>
      </c>
      <c r="AO784" s="368">
        <f t="shared" si="952"/>
        <v>115936.30146304441</v>
      </c>
      <c r="AP784" s="368">
        <f t="shared" si="952"/>
        <v>38645.433821014805</v>
      </c>
      <c r="AQ784" s="368">
        <f t="shared" si="953"/>
        <v>0</v>
      </c>
      <c r="AR784" s="368">
        <f t="shared" si="953"/>
        <v>10236.897834087107</v>
      </c>
      <c r="AS784" s="368">
        <f t="shared" si="953"/>
        <v>0</v>
      </c>
      <c r="AT784" s="368">
        <f t="shared" si="953"/>
        <v>19322.716910507403</v>
      </c>
      <c r="AU784" s="368">
        <f t="shared" si="953"/>
        <v>3864.5433821014808</v>
      </c>
      <c r="AV784" s="368">
        <f t="shared" si="953"/>
        <v>24155.631431411373</v>
      </c>
      <c r="AW784" s="368">
        <f t="shared" si="953"/>
        <v>15503.019209865557</v>
      </c>
      <c r="AX784" s="368">
        <f t="shared" si="953"/>
        <v>9167.9593198495313</v>
      </c>
      <c r="AY784" s="368">
        <f t="shared" si="953"/>
        <v>0</v>
      </c>
      <c r="AZ784" s="368">
        <f t="shared" si="953"/>
        <v>5333.0698673000425</v>
      </c>
      <c r="BB784" s="64"/>
      <c r="BC784" s="66"/>
      <c r="BD784" s="66"/>
      <c r="BE784" s="66"/>
    </row>
    <row r="785" spans="2:57" s="364" customFormat="1" ht="21" customHeight="1" x14ac:dyDescent="0.2">
      <c r="B785" s="369">
        <v>117</v>
      </c>
      <c r="C785" s="372" t="s">
        <v>42</v>
      </c>
      <c r="D785" s="443"/>
      <c r="E785" s="411" t="s">
        <v>55</v>
      </c>
      <c r="F785" s="371" t="s">
        <v>928</v>
      </c>
      <c r="G785" s="384"/>
      <c r="H785" s="56"/>
      <c r="I785" s="57">
        <v>7822.9623119463167</v>
      </c>
      <c r="J785" s="58"/>
      <c r="K785" s="58"/>
      <c r="L785" s="59"/>
      <c r="M785" s="60">
        <v>4.0000000000000002E-4</v>
      </c>
      <c r="N785" s="61">
        <f t="shared" si="901"/>
        <v>312.91849247785268</v>
      </c>
      <c r="O785" s="58">
        <f t="shared" si="902"/>
        <v>8135.8808044241696</v>
      </c>
      <c r="P785" s="61">
        <f t="shared" si="945"/>
        <v>16271.761608848339</v>
      </c>
      <c r="Q785" s="61">
        <f t="shared" si="946"/>
        <v>12203.821206636254</v>
      </c>
      <c r="R785" s="61">
        <f t="shared" si="947"/>
        <v>4067.9404022120848</v>
      </c>
      <c r="S785" s="61">
        <f t="shared" si="948"/>
        <v>542.39205362827795</v>
      </c>
      <c r="T785" s="58">
        <f t="shared" si="949"/>
        <v>622.61183835990016</v>
      </c>
      <c r="U785" s="61">
        <f t="shared" si="950"/>
        <v>6101.910603318127</v>
      </c>
      <c r="V785" s="58">
        <f t="shared" si="951"/>
        <v>2033.9702011060424</v>
      </c>
      <c r="W785" s="62">
        <v>0</v>
      </c>
      <c r="X785" s="63">
        <f t="shared" si="903"/>
        <v>0</v>
      </c>
      <c r="Y785" s="61">
        <v>1077.5681930618007</v>
      </c>
      <c r="Z785" s="61">
        <v>0</v>
      </c>
      <c r="AA785" s="61">
        <f t="shared" si="904"/>
        <v>2033.9702011060424</v>
      </c>
      <c r="AB785" s="61">
        <f t="shared" si="905"/>
        <v>406.79404022120849</v>
      </c>
      <c r="AC785" s="61">
        <v>2542.6980454117233</v>
      </c>
      <c r="AD785" s="61">
        <v>1631.8967589332165</v>
      </c>
      <c r="AE785" s="61">
        <v>965.04834945784535</v>
      </c>
      <c r="AF785" s="61">
        <v>0</v>
      </c>
      <c r="AG785" s="61">
        <f t="shared" si="906"/>
        <v>561.3757755052676</v>
      </c>
      <c r="AH785" s="64"/>
      <c r="AI785" s="64"/>
      <c r="AJ785" s="369">
        <v>117</v>
      </c>
      <c r="AK785" s="372" t="s">
        <v>42</v>
      </c>
      <c r="AL785" s="443"/>
      <c r="AM785" s="411" t="s">
        <v>55</v>
      </c>
      <c r="AN785" s="371" t="s">
        <v>928</v>
      </c>
      <c r="AO785" s="368">
        <f t="shared" si="952"/>
        <v>115936.30146304441</v>
      </c>
      <c r="AP785" s="368">
        <f t="shared" si="952"/>
        <v>38645.433821014805</v>
      </c>
      <c r="AQ785" s="368">
        <f t="shared" si="953"/>
        <v>0</v>
      </c>
      <c r="AR785" s="368">
        <f t="shared" si="953"/>
        <v>10236.897834087107</v>
      </c>
      <c r="AS785" s="368">
        <f t="shared" si="953"/>
        <v>0</v>
      </c>
      <c r="AT785" s="368">
        <f t="shared" si="953"/>
        <v>19322.716910507403</v>
      </c>
      <c r="AU785" s="368">
        <f t="shared" si="953"/>
        <v>3864.5433821014808</v>
      </c>
      <c r="AV785" s="368">
        <f t="shared" si="953"/>
        <v>24155.631431411373</v>
      </c>
      <c r="AW785" s="368">
        <f t="shared" si="953"/>
        <v>15503.019209865557</v>
      </c>
      <c r="AX785" s="368">
        <f t="shared" si="953"/>
        <v>9167.9593198495313</v>
      </c>
      <c r="AY785" s="368">
        <f t="shared" si="953"/>
        <v>0</v>
      </c>
      <c r="AZ785" s="368">
        <f t="shared" si="953"/>
        <v>5333.0698673000425</v>
      </c>
      <c r="BB785" s="64"/>
      <c r="BC785" s="66"/>
      <c r="BD785" s="66"/>
      <c r="BE785" s="66"/>
    </row>
    <row r="786" spans="2:57" s="364" customFormat="1" ht="21" customHeight="1" x14ac:dyDescent="0.2">
      <c r="B786" s="369">
        <v>118</v>
      </c>
      <c r="C786" s="372" t="s">
        <v>42</v>
      </c>
      <c r="D786" s="365"/>
      <c r="E786" s="442" t="s">
        <v>55</v>
      </c>
      <c r="F786" s="371" t="s">
        <v>928</v>
      </c>
      <c r="G786" s="384"/>
      <c r="H786" s="56"/>
      <c r="I786" s="57">
        <v>7822.9623119463167</v>
      </c>
      <c r="J786" s="58"/>
      <c r="K786" s="58"/>
      <c r="L786" s="59"/>
      <c r="M786" s="60">
        <v>4.0000000000000002E-4</v>
      </c>
      <c r="N786" s="61">
        <f t="shared" si="901"/>
        <v>312.91849247785268</v>
      </c>
      <c r="O786" s="58">
        <f t="shared" si="902"/>
        <v>8135.8808044241696</v>
      </c>
      <c r="P786" s="61">
        <f t="shared" si="945"/>
        <v>16271.761608848339</v>
      </c>
      <c r="Q786" s="61">
        <f t="shared" si="946"/>
        <v>12203.821206636254</v>
      </c>
      <c r="R786" s="61">
        <f t="shared" si="947"/>
        <v>4067.9404022120848</v>
      </c>
      <c r="S786" s="61">
        <f t="shared" si="948"/>
        <v>542.39205362827795</v>
      </c>
      <c r="T786" s="58">
        <f t="shared" si="949"/>
        <v>622.61183835990016</v>
      </c>
      <c r="U786" s="61">
        <f t="shared" si="950"/>
        <v>6101.910603318127</v>
      </c>
      <c r="V786" s="58">
        <f t="shared" si="951"/>
        <v>2033.9702011060424</v>
      </c>
      <c r="W786" s="62">
        <v>0</v>
      </c>
      <c r="X786" s="63">
        <f t="shared" si="903"/>
        <v>0</v>
      </c>
      <c r="Y786" s="61">
        <v>1077.5681930618007</v>
      </c>
      <c r="Z786" s="61">
        <v>0</v>
      </c>
      <c r="AA786" s="61">
        <f t="shared" si="904"/>
        <v>2033.9702011060424</v>
      </c>
      <c r="AB786" s="61">
        <f t="shared" si="905"/>
        <v>406.79404022120849</v>
      </c>
      <c r="AC786" s="61">
        <v>2542.6980454117233</v>
      </c>
      <c r="AD786" s="61">
        <v>1631.8967589332165</v>
      </c>
      <c r="AE786" s="61">
        <v>965.04834945784535</v>
      </c>
      <c r="AF786" s="61">
        <v>0</v>
      </c>
      <c r="AG786" s="61">
        <f t="shared" si="906"/>
        <v>561.3757755052676</v>
      </c>
      <c r="AH786" s="64"/>
      <c r="AI786" s="64"/>
      <c r="AJ786" s="369">
        <v>118</v>
      </c>
      <c r="AK786" s="372" t="s">
        <v>42</v>
      </c>
      <c r="AL786" s="365"/>
      <c r="AM786" s="442" t="s">
        <v>55</v>
      </c>
      <c r="AN786" s="371" t="s">
        <v>928</v>
      </c>
      <c r="AO786" s="368">
        <f t="shared" si="952"/>
        <v>115936.30146304441</v>
      </c>
      <c r="AP786" s="368">
        <f t="shared" si="952"/>
        <v>38645.433821014805</v>
      </c>
      <c r="AQ786" s="368">
        <f t="shared" si="953"/>
        <v>0</v>
      </c>
      <c r="AR786" s="368">
        <f t="shared" si="953"/>
        <v>10236.897834087107</v>
      </c>
      <c r="AS786" s="368">
        <f t="shared" si="953"/>
        <v>0</v>
      </c>
      <c r="AT786" s="368">
        <f t="shared" si="953"/>
        <v>19322.716910507403</v>
      </c>
      <c r="AU786" s="368">
        <f t="shared" si="953"/>
        <v>3864.5433821014808</v>
      </c>
      <c r="AV786" s="368">
        <f t="shared" si="953"/>
        <v>24155.631431411373</v>
      </c>
      <c r="AW786" s="368">
        <f t="shared" si="953"/>
        <v>15503.019209865557</v>
      </c>
      <c r="AX786" s="368">
        <f t="shared" si="953"/>
        <v>9167.9593198495313</v>
      </c>
      <c r="AY786" s="368">
        <f t="shared" si="953"/>
        <v>0</v>
      </c>
      <c r="AZ786" s="368">
        <f t="shared" si="953"/>
        <v>5333.0698673000425</v>
      </c>
      <c r="BB786" s="64"/>
      <c r="BC786" s="66"/>
      <c r="BD786" s="66"/>
      <c r="BE786" s="66"/>
    </row>
    <row r="787" spans="2:57" s="364" customFormat="1" ht="21" customHeight="1" x14ac:dyDescent="0.2">
      <c r="B787" s="369">
        <v>119</v>
      </c>
      <c r="C787" s="372" t="s">
        <v>42</v>
      </c>
      <c r="D787" s="365"/>
      <c r="E787" s="411" t="s">
        <v>55</v>
      </c>
      <c r="F787" s="371" t="s">
        <v>928</v>
      </c>
      <c r="G787" s="55"/>
      <c r="H787" s="56"/>
      <c r="I787" s="57">
        <v>7822.9623119463167</v>
      </c>
      <c r="J787" s="58"/>
      <c r="K787" s="58"/>
      <c r="L787" s="59"/>
      <c r="M787" s="60">
        <v>4.0000000000000002E-4</v>
      </c>
      <c r="N787" s="61">
        <f t="shared" si="901"/>
        <v>312.91849247785268</v>
      </c>
      <c r="O787" s="58">
        <f t="shared" si="902"/>
        <v>8135.8808044241696</v>
      </c>
      <c r="P787" s="61">
        <f t="shared" si="945"/>
        <v>16271.761608848339</v>
      </c>
      <c r="Q787" s="61">
        <f t="shared" si="946"/>
        <v>12203.821206636254</v>
      </c>
      <c r="R787" s="61">
        <f t="shared" si="947"/>
        <v>4067.9404022120848</v>
      </c>
      <c r="S787" s="61">
        <f t="shared" si="948"/>
        <v>542.39205362827795</v>
      </c>
      <c r="T787" s="58">
        <f t="shared" si="949"/>
        <v>622.61183835990016</v>
      </c>
      <c r="U787" s="61">
        <f t="shared" si="950"/>
        <v>6101.910603318127</v>
      </c>
      <c r="V787" s="58">
        <f t="shared" si="951"/>
        <v>2033.9702011060424</v>
      </c>
      <c r="W787" s="62">
        <v>0</v>
      </c>
      <c r="X787" s="63">
        <f t="shared" si="903"/>
        <v>0</v>
      </c>
      <c r="Y787" s="61">
        <v>1077.5681930618007</v>
      </c>
      <c r="Z787" s="61">
        <v>0</v>
      </c>
      <c r="AA787" s="61">
        <f t="shared" si="904"/>
        <v>2033.9702011060424</v>
      </c>
      <c r="AB787" s="61">
        <f t="shared" si="905"/>
        <v>406.79404022120849</v>
      </c>
      <c r="AC787" s="61">
        <v>2542.6980454117233</v>
      </c>
      <c r="AD787" s="61">
        <v>1631.8967589332165</v>
      </c>
      <c r="AE787" s="61">
        <v>965.04834945784535</v>
      </c>
      <c r="AF787" s="61">
        <v>0</v>
      </c>
      <c r="AG787" s="61">
        <f t="shared" si="906"/>
        <v>561.3757755052676</v>
      </c>
      <c r="AH787" s="64"/>
      <c r="AI787" s="64"/>
      <c r="AJ787" s="369">
        <v>119</v>
      </c>
      <c r="AK787" s="372" t="s">
        <v>42</v>
      </c>
      <c r="AL787" s="365"/>
      <c r="AM787" s="411" t="s">
        <v>55</v>
      </c>
      <c r="AN787" s="371" t="s">
        <v>928</v>
      </c>
      <c r="AO787" s="368">
        <f t="shared" si="952"/>
        <v>115936.30146304441</v>
      </c>
      <c r="AP787" s="368">
        <f t="shared" si="952"/>
        <v>38645.433821014805</v>
      </c>
      <c r="AQ787" s="368">
        <f t="shared" si="953"/>
        <v>0</v>
      </c>
      <c r="AR787" s="368">
        <f t="shared" si="953"/>
        <v>10236.897834087107</v>
      </c>
      <c r="AS787" s="368">
        <f t="shared" si="953"/>
        <v>0</v>
      </c>
      <c r="AT787" s="368">
        <f t="shared" si="953"/>
        <v>19322.716910507403</v>
      </c>
      <c r="AU787" s="368">
        <f t="shared" si="953"/>
        <v>3864.5433821014808</v>
      </c>
      <c r="AV787" s="368">
        <f t="shared" si="953"/>
        <v>24155.631431411373</v>
      </c>
      <c r="AW787" s="368">
        <f t="shared" si="953"/>
        <v>15503.019209865557</v>
      </c>
      <c r="AX787" s="368">
        <f t="shared" si="953"/>
        <v>9167.9593198495313</v>
      </c>
      <c r="AY787" s="368">
        <f t="shared" si="953"/>
        <v>0</v>
      </c>
      <c r="AZ787" s="368">
        <f t="shared" si="953"/>
        <v>5333.0698673000425</v>
      </c>
      <c r="BB787" s="64"/>
      <c r="BC787" s="66"/>
      <c r="BD787" s="66"/>
      <c r="BE787" s="66"/>
    </row>
    <row r="788" spans="2:57" s="364" customFormat="1" ht="21" customHeight="1" x14ac:dyDescent="0.2">
      <c r="B788" s="369">
        <v>120</v>
      </c>
      <c r="C788" s="372" t="s">
        <v>42</v>
      </c>
      <c r="D788" s="443"/>
      <c r="E788" s="444" t="s">
        <v>55</v>
      </c>
      <c r="F788" s="371" t="s">
        <v>928</v>
      </c>
      <c r="G788" s="384"/>
      <c r="H788" s="55"/>
      <c r="I788" s="57">
        <v>7822.9623119463167</v>
      </c>
      <c r="J788" s="58"/>
      <c r="K788" s="58"/>
      <c r="L788" s="59"/>
      <c r="M788" s="60">
        <v>4.0000000000000002E-4</v>
      </c>
      <c r="N788" s="61">
        <f t="shared" si="901"/>
        <v>312.91849247785268</v>
      </c>
      <c r="O788" s="58">
        <f t="shared" si="902"/>
        <v>8135.8808044241696</v>
      </c>
      <c r="P788" s="61">
        <f t="shared" si="945"/>
        <v>16271.761608848339</v>
      </c>
      <c r="Q788" s="61">
        <f t="shared" si="946"/>
        <v>12203.821206636254</v>
      </c>
      <c r="R788" s="61">
        <f t="shared" si="947"/>
        <v>4067.9404022120848</v>
      </c>
      <c r="S788" s="61">
        <f t="shared" si="948"/>
        <v>542.39205362827795</v>
      </c>
      <c r="T788" s="58">
        <f t="shared" si="949"/>
        <v>622.61183835990016</v>
      </c>
      <c r="U788" s="61">
        <f t="shared" si="950"/>
        <v>6101.910603318127</v>
      </c>
      <c r="V788" s="58">
        <f t="shared" si="951"/>
        <v>2033.9702011060424</v>
      </c>
      <c r="W788" s="62">
        <v>0</v>
      </c>
      <c r="X788" s="63">
        <f t="shared" si="903"/>
        <v>0</v>
      </c>
      <c r="Y788" s="61">
        <v>1077.5681930618007</v>
      </c>
      <c r="Z788" s="61">
        <v>0</v>
      </c>
      <c r="AA788" s="61">
        <f t="shared" si="904"/>
        <v>2033.9702011060424</v>
      </c>
      <c r="AB788" s="61">
        <f t="shared" si="905"/>
        <v>406.79404022120849</v>
      </c>
      <c r="AC788" s="61">
        <v>2542.6980454117233</v>
      </c>
      <c r="AD788" s="61">
        <v>1631.8967589332165</v>
      </c>
      <c r="AE788" s="61">
        <v>965.04834945784535</v>
      </c>
      <c r="AF788" s="61">
        <v>0</v>
      </c>
      <c r="AG788" s="61">
        <f t="shared" si="906"/>
        <v>561.3757755052676</v>
      </c>
      <c r="AH788" s="64"/>
      <c r="AI788" s="64"/>
      <c r="AJ788" s="369">
        <v>120</v>
      </c>
      <c r="AK788" s="372" t="s">
        <v>42</v>
      </c>
      <c r="AL788" s="443"/>
      <c r="AM788" s="444" t="s">
        <v>55</v>
      </c>
      <c r="AN788" s="371" t="s">
        <v>928</v>
      </c>
      <c r="AO788" s="368">
        <f>Q788*8.5</f>
        <v>103732.48025640816</v>
      </c>
      <c r="AP788" s="368">
        <f>R788*8.5</f>
        <v>34577.493418802718</v>
      </c>
      <c r="AQ788" s="368">
        <f t="shared" ref="AQ788:AZ788" si="954">X788*8.5</f>
        <v>0</v>
      </c>
      <c r="AR788" s="368">
        <f t="shared" si="954"/>
        <v>9159.329641025306</v>
      </c>
      <c r="AS788" s="368">
        <f t="shared" si="954"/>
        <v>0</v>
      </c>
      <c r="AT788" s="368">
        <f t="shared" si="954"/>
        <v>17288.746709401359</v>
      </c>
      <c r="AU788" s="368">
        <f t="shared" si="954"/>
        <v>3457.7493418802724</v>
      </c>
      <c r="AV788" s="368">
        <f t="shared" si="954"/>
        <v>21612.933385999648</v>
      </c>
      <c r="AW788" s="368">
        <f t="shared" si="954"/>
        <v>13871.12245093234</v>
      </c>
      <c r="AX788" s="368">
        <f t="shared" si="954"/>
        <v>8202.9109703916856</v>
      </c>
      <c r="AY788" s="368">
        <f t="shared" si="954"/>
        <v>0</v>
      </c>
      <c r="AZ788" s="368">
        <f t="shared" si="954"/>
        <v>4771.694091794775</v>
      </c>
      <c r="BB788" s="64"/>
      <c r="BC788" s="66"/>
      <c r="BD788" s="66"/>
      <c r="BE788" s="66"/>
    </row>
    <row r="789" spans="2:57" s="364" customFormat="1" ht="21" customHeight="1" x14ac:dyDescent="0.2">
      <c r="B789" s="369">
        <v>121</v>
      </c>
      <c r="C789" s="372" t="s">
        <v>42</v>
      </c>
      <c r="D789" s="365"/>
      <c r="E789" s="445" t="s">
        <v>55</v>
      </c>
      <c r="F789" s="371" t="s">
        <v>928</v>
      </c>
      <c r="G789" s="365"/>
      <c r="H789" s="56"/>
      <c r="I789" s="57">
        <v>7822.9623119463167</v>
      </c>
      <c r="J789" s="58"/>
      <c r="K789" s="58"/>
      <c r="L789" s="59"/>
      <c r="M789" s="60">
        <v>4.0000000000000002E-4</v>
      </c>
      <c r="N789" s="61">
        <f t="shared" si="901"/>
        <v>312.91849247785268</v>
      </c>
      <c r="O789" s="58">
        <f t="shared" si="902"/>
        <v>8135.8808044241696</v>
      </c>
      <c r="P789" s="61">
        <f t="shared" si="945"/>
        <v>16271.761608848339</v>
      </c>
      <c r="Q789" s="61">
        <f t="shared" si="946"/>
        <v>12203.821206636254</v>
      </c>
      <c r="R789" s="61">
        <f t="shared" si="947"/>
        <v>4067.9404022120848</v>
      </c>
      <c r="S789" s="61">
        <f t="shared" si="948"/>
        <v>542.39205362827795</v>
      </c>
      <c r="T789" s="58">
        <f t="shared" si="949"/>
        <v>622.61183835990016</v>
      </c>
      <c r="U789" s="61">
        <f t="shared" si="950"/>
        <v>6101.910603318127</v>
      </c>
      <c r="V789" s="58">
        <f t="shared" si="951"/>
        <v>2033.9702011060424</v>
      </c>
      <c r="W789" s="62">
        <v>0</v>
      </c>
      <c r="X789" s="63">
        <f t="shared" si="903"/>
        <v>0</v>
      </c>
      <c r="Y789" s="61">
        <v>1077.5681930618007</v>
      </c>
      <c r="Z789" s="61">
        <v>0</v>
      </c>
      <c r="AA789" s="61">
        <f t="shared" si="904"/>
        <v>2033.9702011060424</v>
      </c>
      <c r="AB789" s="61">
        <f t="shared" si="905"/>
        <v>406.79404022120849</v>
      </c>
      <c r="AC789" s="61">
        <v>2542.6980454117233</v>
      </c>
      <c r="AD789" s="61">
        <v>1631.8967589332165</v>
      </c>
      <c r="AE789" s="61">
        <v>965.04834945784535</v>
      </c>
      <c r="AF789" s="61">
        <v>0</v>
      </c>
      <c r="AG789" s="61">
        <f t="shared" si="906"/>
        <v>561.3757755052676</v>
      </c>
      <c r="AH789" s="64"/>
      <c r="AI789" s="64"/>
      <c r="AJ789" s="369">
        <v>121</v>
      </c>
      <c r="AK789" s="372" t="s">
        <v>42</v>
      </c>
      <c r="AL789" s="365"/>
      <c r="AM789" s="445" t="s">
        <v>55</v>
      </c>
      <c r="AN789" s="371" t="s">
        <v>928</v>
      </c>
      <c r="AO789" s="368">
        <f t="shared" ref="AO789:AP791" si="955">Q789*5</f>
        <v>61019.10603318127</v>
      </c>
      <c r="AP789" s="368">
        <f t="shared" si="955"/>
        <v>20339.702011060424</v>
      </c>
      <c r="AQ789" s="368">
        <f t="shared" ref="AQ789:AZ791" si="956">X789*5</f>
        <v>0</v>
      </c>
      <c r="AR789" s="368">
        <f t="shared" si="956"/>
        <v>5387.8409653090039</v>
      </c>
      <c r="AS789" s="368">
        <f t="shared" si="956"/>
        <v>0</v>
      </c>
      <c r="AT789" s="368">
        <f t="shared" si="956"/>
        <v>10169.851005530212</v>
      </c>
      <c r="AU789" s="368">
        <f t="shared" si="956"/>
        <v>2033.9702011060424</v>
      </c>
      <c r="AV789" s="368">
        <f t="shared" si="956"/>
        <v>12713.490227058617</v>
      </c>
      <c r="AW789" s="368">
        <f t="shared" si="956"/>
        <v>8159.4837946660828</v>
      </c>
      <c r="AX789" s="368">
        <f t="shared" si="956"/>
        <v>4825.2417472892266</v>
      </c>
      <c r="AY789" s="368">
        <f t="shared" si="956"/>
        <v>0</v>
      </c>
      <c r="AZ789" s="368">
        <f t="shared" si="956"/>
        <v>2806.8788775263379</v>
      </c>
      <c r="BB789" s="64"/>
      <c r="BC789" s="66"/>
      <c r="BD789" s="66"/>
      <c r="BE789" s="66"/>
    </row>
    <row r="790" spans="2:57" s="364" customFormat="1" ht="21" customHeight="1" x14ac:dyDescent="0.2">
      <c r="B790" s="369">
        <v>122</v>
      </c>
      <c r="C790" s="372" t="s">
        <v>42</v>
      </c>
      <c r="D790" s="365"/>
      <c r="E790" s="445" t="s">
        <v>55</v>
      </c>
      <c r="F790" s="371" t="s">
        <v>928</v>
      </c>
      <c r="G790" s="384"/>
      <c r="H790" s="56"/>
      <c r="I790" s="57">
        <v>7822.9623119463167</v>
      </c>
      <c r="J790" s="58"/>
      <c r="K790" s="58"/>
      <c r="L790" s="59"/>
      <c r="M790" s="60">
        <v>4.0000000000000002E-4</v>
      </c>
      <c r="N790" s="61">
        <f t="shared" si="901"/>
        <v>312.91849247785268</v>
      </c>
      <c r="O790" s="58">
        <f t="shared" si="902"/>
        <v>8135.8808044241696</v>
      </c>
      <c r="P790" s="61">
        <f t="shared" si="945"/>
        <v>16271.761608848339</v>
      </c>
      <c r="Q790" s="61">
        <f t="shared" si="946"/>
        <v>12203.821206636254</v>
      </c>
      <c r="R790" s="61">
        <f t="shared" si="947"/>
        <v>4067.9404022120848</v>
      </c>
      <c r="S790" s="61">
        <f t="shared" si="948"/>
        <v>542.39205362827795</v>
      </c>
      <c r="T790" s="58">
        <f t="shared" si="949"/>
        <v>622.61183835990016</v>
      </c>
      <c r="U790" s="61">
        <f t="shared" si="950"/>
        <v>6101.910603318127</v>
      </c>
      <c r="V790" s="58">
        <f t="shared" si="951"/>
        <v>2033.9702011060424</v>
      </c>
      <c r="W790" s="62">
        <v>0</v>
      </c>
      <c r="X790" s="63">
        <f t="shared" si="903"/>
        <v>0</v>
      </c>
      <c r="Y790" s="61">
        <v>1077.5681930618007</v>
      </c>
      <c r="Z790" s="61">
        <v>0</v>
      </c>
      <c r="AA790" s="61">
        <f t="shared" si="904"/>
        <v>2033.9702011060424</v>
      </c>
      <c r="AB790" s="61">
        <f t="shared" si="905"/>
        <v>406.79404022120849</v>
      </c>
      <c r="AC790" s="61">
        <v>2542.6980454117233</v>
      </c>
      <c r="AD790" s="61">
        <v>1631.8967589332165</v>
      </c>
      <c r="AE790" s="61">
        <v>965.04834945784535</v>
      </c>
      <c r="AF790" s="61">
        <v>0</v>
      </c>
      <c r="AG790" s="61">
        <f t="shared" si="906"/>
        <v>561.3757755052676</v>
      </c>
      <c r="AH790" s="64"/>
      <c r="AI790" s="64"/>
      <c r="AJ790" s="369">
        <v>122</v>
      </c>
      <c r="AK790" s="372" t="s">
        <v>42</v>
      </c>
      <c r="AL790" s="365"/>
      <c r="AM790" s="445" t="s">
        <v>55</v>
      </c>
      <c r="AN790" s="371" t="s">
        <v>928</v>
      </c>
      <c r="AO790" s="368">
        <f t="shared" si="955"/>
        <v>61019.10603318127</v>
      </c>
      <c r="AP790" s="368">
        <f t="shared" si="955"/>
        <v>20339.702011060424</v>
      </c>
      <c r="AQ790" s="368">
        <f t="shared" si="956"/>
        <v>0</v>
      </c>
      <c r="AR790" s="368">
        <f t="shared" si="956"/>
        <v>5387.8409653090039</v>
      </c>
      <c r="AS790" s="368">
        <f t="shared" si="956"/>
        <v>0</v>
      </c>
      <c r="AT790" s="368">
        <f t="shared" si="956"/>
        <v>10169.851005530212</v>
      </c>
      <c r="AU790" s="368">
        <f t="shared" si="956"/>
        <v>2033.9702011060424</v>
      </c>
      <c r="AV790" s="368">
        <f t="shared" si="956"/>
        <v>12713.490227058617</v>
      </c>
      <c r="AW790" s="368">
        <f t="shared" si="956"/>
        <v>8159.4837946660828</v>
      </c>
      <c r="AX790" s="368">
        <f t="shared" si="956"/>
        <v>4825.2417472892266</v>
      </c>
      <c r="AY790" s="368">
        <f t="shared" si="956"/>
        <v>0</v>
      </c>
      <c r="AZ790" s="368">
        <f t="shared" si="956"/>
        <v>2806.8788775263379</v>
      </c>
      <c r="BB790" s="64"/>
      <c r="BC790" s="66"/>
      <c r="BD790" s="66"/>
      <c r="BE790" s="66"/>
    </row>
    <row r="791" spans="2:57" s="364" customFormat="1" ht="21" customHeight="1" x14ac:dyDescent="0.2">
      <c r="B791" s="369">
        <v>123</v>
      </c>
      <c r="C791" s="372" t="s">
        <v>42</v>
      </c>
      <c r="D791" s="443"/>
      <c r="E791" s="445" t="s">
        <v>55</v>
      </c>
      <c r="F791" s="371" t="s">
        <v>951</v>
      </c>
      <c r="G791" s="384"/>
      <c r="H791" s="56"/>
      <c r="I791" s="57">
        <v>7822.9623119463167</v>
      </c>
      <c r="J791" s="58"/>
      <c r="K791" s="58"/>
      <c r="L791" s="59"/>
      <c r="M791" s="60">
        <v>4.0000000000000002E-4</v>
      </c>
      <c r="N791" s="61">
        <f t="shared" si="901"/>
        <v>312.91849247785268</v>
      </c>
      <c r="O791" s="58">
        <f t="shared" si="902"/>
        <v>8135.8808044241696</v>
      </c>
      <c r="P791" s="61">
        <f t="shared" si="945"/>
        <v>16271.761608848339</v>
      </c>
      <c r="Q791" s="61">
        <f t="shared" si="946"/>
        <v>12203.821206636254</v>
      </c>
      <c r="R791" s="61">
        <f t="shared" si="947"/>
        <v>4067.9404022120848</v>
      </c>
      <c r="S791" s="61">
        <f t="shared" si="948"/>
        <v>542.39205362827795</v>
      </c>
      <c r="T791" s="58">
        <f t="shared" si="949"/>
        <v>622.61183835990016</v>
      </c>
      <c r="U791" s="61">
        <f t="shared" si="950"/>
        <v>6101.910603318127</v>
      </c>
      <c r="V791" s="58">
        <f t="shared" si="951"/>
        <v>2033.9702011060424</v>
      </c>
      <c r="W791" s="62">
        <v>0</v>
      </c>
      <c r="X791" s="63">
        <f t="shared" si="903"/>
        <v>0</v>
      </c>
      <c r="Y791" s="61">
        <v>1077.5681930618007</v>
      </c>
      <c r="Z791" s="61">
        <v>0</v>
      </c>
      <c r="AA791" s="61">
        <f t="shared" si="904"/>
        <v>2033.9702011060424</v>
      </c>
      <c r="AB791" s="61">
        <f t="shared" si="905"/>
        <v>406.79404022120849</v>
      </c>
      <c r="AC791" s="61">
        <v>2542.6980454117233</v>
      </c>
      <c r="AD791" s="61">
        <v>1631.8967589332165</v>
      </c>
      <c r="AE791" s="61">
        <v>965.04834945784535</v>
      </c>
      <c r="AF791" s="61">
        <v>0</v>
      </c>
      <c r="AG791" s="61">
        <f t="shared" si="906"/>
        <v>561.3757755052676</v>
      </c>
      <c r="AH791" s="64"/>
      <c r="AI791" s="64"/>
      <c r="AJ791" s="369">
        <v>123</v>
      </c>
      <c r="AK791" s="372" t="s">
        <v>42</v>
      </c>
      <c r="AL791" s="443"/>
      <c r="AM791" s="445" t="s">
        <v>55</v>
      </c>
      <c r="AN791" s="371" t="s">
        <v>951</v>
      </c>
      <c r="AO791" s="368">
        <f t="shared" si="955"/>
        <v>61019.10603318127</v>
      </c>
      <c r="AP791" s="368">
        <f t="shared" si="955"/>
        <v>20339.702011060424</v>
      </c>
      <c r="AQ791" s="368">
        <f t="shared" si="956"/>
        <v>0</v>
      </c>
      <c r="AR791" s="368">
        <f t="shared" si="956"/>
        <v>5387.8409653090039</v>
      </c>
      <c r="AS791" s="368">
        <f t="shared" si="956"/>
        <v>0</v>
      </c>
      <c r="AT791" s="368">
        <f t="shared" si="956"/>
        <v>10169.851005530212</v>
      </c>
      <c r="AU791" s="368">
        <f t="shared" si="956"/>
        <v>2033.9702011060424</v>
      </c>
      <c r="AV791" s="368">
        <f t="shared" si="956"/>
        <v>12713.490227058617</v>
      </c>
      <c r="AW791" s="368">
        <f t="shared" si="956"/>
        <v>8159.4837946660828</v>
      </c>
      <c r="AX791" s="368">
        <f t="shared" si="956"/>
        <v>4825.2417472892266</v>
      </c>
      <c r="AY791" s="368">
        <f t="shared" si="956"/>
        <v>0</v>
      </c>
      <c r="AZ791" s="368">
        <f t="shared" si="956"/>
        <v>2806.8788775263379</v>
      </c>
      <c r="BA791" s="413"/>
      <c r="BB791" s="64"/>
      <c r="BC791" s="66"/>
      <c r="BD791" s="66"/>
      <c r="BE791" s="66"/>
    </row>
    <row r="792" spans="2:57" s="364" customFormat="1" ht="21" customHeight="1" x14ac:dyDescent="0.2">
      <c r="B792" s="369">
        <v>124</v>
      </c>
      <c r="C792" s="372" t="s">
        <v>42</v>
      </c>
      <c r="D792" s="365"/>
      <c r="E792" s="442" t="s">
        <v>55</v>
      </c>
      <c r="F792" s="371" t="s">
        <v>928</v>
      </c>
      <c r="G792" s="446"/>
      <c r="H792" s="56"/>
      <c r="I792" s="57">
        <v>7822.9623119463167</v>
      </c>
      <c r="J792" s="58"/>
      <c r="K792" s="58"/>
      <c r="L792" s="59"/>
      <c r="M792" s="60">
        <v>4.0000000000000002E-4</v>
      </c>
      <c r="N792" s="61">
        <f t="shared" si="901"/>
        <v>312.91849247785268</v>
      </c>
      <c r="O792" s="58">
        <f t="shared" si="902"/>
        <v>8135.8808044241696</v>
      </c>
      <c r="P792" s="61">
        <f t="shared" si="945"/>
        <v>16271.761608848339</v>
      </c>
      <c r="Q792" s="61">
        <f t="shared" si="946"/>
        <v>12203.821206636254</v>
      </c>
      <c r="R792" s="61">
        <f t="shared" si="947"/>
        <v>4067.9404022120848</v>
      </c>
      <c r="S792" s="61">
        <f t="shared" si="948"/>
        <v>542.39205362827795</v>
      </c>
      <c r="T792" s="58">
        <f t="shared" si="949"/>
        <v>622.61183835990016</v>
      </c>
      <c r="U792" s="61">
        <f t="shared" si="950"/>
        <v>6101.910603318127</v>
      </c>
      <c r="V792" s="58">
        <f t="shared" si="951"/>
        <v>2033.9702011060424</v>
      </c>
      <c r="W792" s="62">
        <v>0</v>
      </c>
      <c r="X792" s="63">
        <f t="shared" si="903"/>
        <v>0</v>
      </c>
      <c r="Y792" s="61">
        <v>1077.5681930618007</v>
      </c>
      <c r="Z792" s="61">
        <v>0</v>
      </c>
      <c r="AA792" s="61">
        <f t="shared" si="904"/>
        <v>2033.9702011060424</v>
      </c>
      <c r="AB792" s="61">
        <f t="shared" si="905"/>
        <v>406.79404022120849</v>
      </c>
      <c r="AC792" s="61">
        <v>2542.6980454117233</v>
      </c>
      <c r="AD792" s="61">
        <v>1631.8967589332165</v>
      </c>
      <c r="AE792" s="61">
        <v>965.04834945784535</v>
      </c>
      <c r="AF792" s="61">
        <v>0</v>
      </c>
      <c r="AG792" s="61">
        <f t="shared" si="906"/>
        <v>561.3757755052676</v>
      </c>
      <c r="AH792" s="64"/>
      <c r="AI792" s="64"/>
      <c r="AJ792" s="369">
        <v>124</v>
      </c>
      <c r="AK792" s="372" t="s">
        <v>42</v>
      </c>
      <c r="AL792" s="365"/>
      <c r="AM792" s="442" t="s">
        <v>55</v>
      </c>
      <c r="AN792" s="371" t="s">
        <v>928</v>
      </c>
      <c r="AO792" s="368">
        <f>Q792*5.5</f>
        <v>67121.016636499393</v>
      </c>
      <c r="AP792" s="368">
        <f>R792*5.5</f>
        <v>22373.672212166468</v>
      </c>
      <c r="AQ792" s="368">
        <f t="shared" ref="AQ792:AZ793" si="957">X792*5.5</f>
        <v>0</v>
      </c>
      <c r="AR792" s="368">
        <f t="shared" si="957"/>
        <v>5926.6250618399035</v>
      </c>
      <c r="AS792" s="368">
        <f t="shared" si="957"/>
        <v>0</v>
      </c>
      <c r="AT792" s="368">
        <f t="shared" si="957"/>
        <v>11186.836106083234</v>
      </c>
      <c r="AU792" s="368">
        <f t="shared" si="957"/>
        <v>2237.3672212166466</v>
      </c>
      <c r="AV792" s="368">
        <f t="shared" si="957"/>
        <v>13984.839249764478</v>
      </c>
      <c r="AW792" s="368">
        <f t="shared" si="957"/>
        <v>8975.4321741326912</v>
      </c>
      <c r="AX792" s="368">
        <f t="shared" si="957"/>
        <v>5307.7659220181495</v>
      </c>
      <c r="AY792" s="368">
        <f t="shared" si="957"/>
        <v>0</v>
      </c>
      <c r="AZ792" s="368">
        <f t="shared" si="957"/>
        <v>3087.5667652789716</v>
      </c>
      <c r="BB792" s="64"/>
      <c r="BC792" s="66"/>
      <c r="BD792" s="66"/>
      <c r="BE792" s="66"/>
    </row>
    <row r="793" spans="2:57" s="364" customFormat="1" ht="21" customHeight="1" x14ac:dyDescent="0.2">
      <c r="B793" s="369">
        <v>125</v>
      </c>
      <c r="C793" s="372" t="s">
        <v>42</v>
      </c>
      <c r="D793" s="365"/>
      <c r="E793" s="442" t="s">
        <v>55</v>
      </c>
      <c r="F793" s="371" t="s">
        <v>928</v>
      </c>
      <c r="G793" s="384"/>
      <c r="H793" s="56"/>
      <c r="I793" s="57">
        <v>7822.9623119463167</v>
      </c>
      <c r="J793" s="58"/>
      <c r="K793" s="58"/>
      <c r="L793" s="59"/>
      <c r="M793" s="60">
        <v>4.0000000000000002E-4</v>
      </c>
      <c r="N793" s="61">
        <f t="shared" si="901"/>
        <v>312.91849247785268</v>
      </c>
      <c r="O793" s="58">
        <f t="shared" si="902"/>
        <v>8135.8808044241696</v>
      </c>
      <c r="P793" s="61">
        <f t="shared" si="945"/>
        <v>16271.761608848339</v>
      </c>
      <c r="Q793" s="61">
        <f t="shared" si="946"/>
        <v>12203.821206636254</v>
      </c>
      <c r="R793" s="61">
        <f t="shared" si="947"/>
        <v>4067.9404022120848</v>
      </c>
      <c r="S793" s="61">
        <f t="shared" si="948"/>
        <v>542.39205362827795</v>
      </c>
      <c r="T793" s="58">
        <f t="shared" si="949"/>
        <v>622.61183835990016</v>
      </c>
      <c r="U793" s="61">
        <f t="shared" si="950"/>
        <v>6101.910603318127</v>
      </c>
      <c r="V793" s="58">
        <f t="shared" si="951"/>
        <v>2033.9702011060424</v>
      </c>
      <c r="W793" s="62">
        <v>0</v>
      </c>
      <c r="X793" s="63">
        <f t="shared" si="903"/>
        <v>0</v>
      </c>
      <c r="Y793" s="61">
        <v>1077.5681930618007</v>
      </c>
      <c r="Z793" s="61">
        <v>0</v>
      </c>
      <c r="AA793" s="61">
        <f t="shared" si="904"/>
        <v>2033.9702011060424</v>
      </c>
      <c r="AB793" s="61">
        <f t="shared" si="905"/>
        <v>406.79404022120849</v>
      </c>
      <c r="AC793" s="61">
        <v>2542.6980454117233</v>
      </c>
      <c r="AD793" s="61">
        <v>1631.8967589332165</v>
      </c>
      <c r="AE793" s="61">
        <v>965.04834945784535</v>
      </c>
      <c r="AF793" s="61">
        <v>0</v>
      </c>
      <c r="AG793" s="61">
        <f t="shared" si="906"/>
        <v>561.3757755052676</v>
      </c>
      <c r="AH793" s="64"/>
      <c r="AI793" s="64"/>
      <c r="AJ793" s="369">
        <v>125</v>
      </c>
      <c r="AK793" s="372" t="s">
        <v>42</v>
      </c>
      <c r="AL793" s="365"/>
      <c r="AM793" s="442" t="s">
        <v>55</v>
      </c>
      <c r="AN793" s="371" t="s">
        <v>928</v>
      </c>
      <c r="AO793" s="368">
        <f>Q793*5.5</f>
        <v>67121.016636499393</v>
      </c>
      <c r="AP793" s="368">
        <f>R793*5.5</f>
        <v>22373.672212166468</v>
      </c>
      <c r="AQ793" s="368">
        <f t="shared" si="957"/>
        <v>0</v>
      </c>
      <c r="AR793" s="368">
        <f t="shared" si="957"/>
        <v>5926.6250618399035</v>
      </c>
      <c r="AS793" s="368">
        <f t="shared" si="957"/>
        <v>0</v>
      </c>
      <c r="AT793" s="368">
        <f t="shared" si="957"/>
        <v>11186.836106083234</v>
      </c>
      <c r="AU793" s="368">
        <f t="shared" si="957"/>
        <v>2237.3672212166466</v>
      </c>
      <c r="AV793" s="368">
        <f t="shared" si="957"/>
        <v>13984.839249764478</v>
      </c>
      <c r="AW793" s="368">
        <f t="shared" si="957"/>
        <v>8975.4321741326912</v>
      </c>
      <c r="AX793" s="368">
        <f t="shared" si="957"/>
        <v>5307.7659220181495</v>
      </c>
      <c r="AY793" s="368">
        <f t="shared" si="957"/>
        <v>0</v>
      </c>
      <c r="AZ793" s="368">
        <f t="shared" si="957"/>
        <v>3087.5667652789716</v>
      </c>
      <c r="BB793" s="64"/>
      <c r="BC793" s="66"/>
      <c r="BD793" s="66"/>
      <c r="BE793" s="66"/>
    </row>
    <row r="794" spans="2:57" s="364" customFormat="1" ht="21" customHeight="1" x14ac:dyDescent="0.2">
      <c r="B794" s="369">
        <v>126</v>
      </c>
      <c r="C794" s="372" t="s">
        <v>42</v>
      </c>
      <c r="D794" s="443"/>
      <c r="E794" s="447" t="s">
        <v>55</v>
      </c>
      <c r="F794" s="371" t="s">
        <v>928</v>
      </c>
      <c r="G794" s="384"/>
      <c r="H794" s="56"/>
      <c r="I794" s="57">
        <v>7822.9623119463167</v>
      </c>
      <c r="J794" s="58"/>
      <c r="K794" s="58"/>
      <c r="L794" s="59"/>
      <c r="M794" s="60">
        <v>4.0000000000000002E-4</v>
      </c>
      <c r="N794" s="61">
        <f t="shared" si="901"/>
        <v>312.91849247785268</v>
      </c>
      <c r="O794" s="58">
        <f t="shared" si="902"/>
        <v>8135.8808044241696</v>
      </c>
      <c r="P794" s="61">
        <f t="shared" si="945"/>
        <v>16271.761608848339</v>
      </c>
      <c r="Q794" s="61">
        <f t="shared" si="946"/>
        <v>12203.821206636254</v>
      </c>
      <c r="R794" s="61">
        <f t="shared" si="947"/>
        <v>4067.9404022120848</v>
      </c>
      <c r="S794" s="61">
        <f t="shared" si="948"/>
        <v>542.39205362827795</v>
      </c>
      <c r="T794" s="58">
        <f t="shared" si="949"/>
        <v>622.61183835990016</v>
      </c>
      <c r="U794" s="61">
        <f t="shared" si="950"/>
        <v>6101.910603318127</v>
      </c>
      <c r="V794" s="58">
        <f t="shared" si="951"/>
        <v>2033.9702011060424</v>
      </c>
      <c r="W794" s="62">
        <v>0</v>
      </c>
      <c r="X794" s="63">
        <f t="shared" si="903"/>
        <v>0</v>
      </c>
      <c r="Y794" s="61">
        <v>1077.5681930618007</v>
      </c>
      <c r="Z794" s="61">
        <v>0</v>
      </c>
      <c r="AA794" s="61">
        <f t="shared" si="904"/>
        <v>2033.9702011060424</v>
      </c>
      <c r="AB794" s="61">
        <f t="shared" si="905"/>
        <v>406.79404022120849</v>
      </c>
      <c r="AC794" s="61">
        <v>2542.6980454117233</v>
      </c>
      <c r="AD794" s="61">
        <v>1631.8967589332165</v>
      </c>
      <c r="AE794" s="61">
        <v>965.04834945784535</v>
      </c>
      <c r="AF794" s="61">
        <v>0</v>
      </c>
      <c r="AG794" s="61">
        <f t="shared" si="906"/>
        <v>561.3757755052676</v>
      </c>
      <c r="AH794" s="64"/>
      <c r="AI794" s="64"/>
      <c r="AJ794" s="369">
        <v>126</v>
      </c>
      <c r="AK794" s="372" t="s">
        <v>42</v>
      </c>
      <c r="AL794" s="443"/>
      <c r="AM794" s="447" t="s">
        <v>55</v>
      </c>
      <c r="AN794" s="371" t="s">
        <v>928</v>
      </c>
      <c r="AO794" s="368">
        <f t="shared" ref="AO794:AP797" si="958">Q794*4.5</f>
        <v>54917.195429863146</v>
      </c>
      <c r="AP794" s="368">
        <f t="shared" si="958"/>
        <v>18305.731809954381</v>
      </c>
      <c r="AQ794" s="368">
        <f t="shared" ref="AQ794:AZ797" si="959">X794*4.5</f>
        <v>0</v>
      </c>
      <c r="AR794" s="368">
        <f t="shared" si="959"/>
        <v>4849.0568687781033</v>
      </c>
      <c r="AS794" s="368">
        <f t="shared" si="959"/>
        <v>0</v>
      </c>
      <c r="AT794" s="368">
        <f t="shared" si="959"/>
        <v>9152.8659049771904</v>
      </c>
      <c r="AU794" s="368">
        <f t="shared" si="959"/>
        <v>1830.5731809954382</v>
      </c>
      <c r="AV794" s="368">
        <f t="shared" si="959"/>
        <v>11442.141204352754</v>
      </c>
      <c r="AW794" s="368">
        <f t="shared" si="959"/>
        <v>7343.5354151994743</v>
      </c>
      <c r="AX794" s="368">
        <f t="shared" si="959"/>
        <v>4342.7175725603038</v>
      </c>
      <c r="AY794" s="368">
        <f t="shared" si="959"/>
        <v>0</v>
      </c>
      <c r="AZ794" s="368">
        <f t="shared" si="959"/>
        <v>2526.1909897737041</v>
      </c>
      <c r="BB794" s="64"/>
      <c r="BC794" s="66"/>
      <c r="BD794" s="66"/>
      <c r="BE794" s="66"/>
    </row>
    <row r="795" spans="2:57" s="364" customFormat="1" ht="21" customHeight="1" x14ac:dyDescent="0.2">
      <c r="B795" s="369">
        <v>127</v>
      </c>
      <c r="C795" s="372" t="s">
        <v>42</v>
      </c>
      <c r="D795" s="365"/>
      <c r="E795" s="391" t="s">
        <v>55</v>
      </c>
      <c r="F795" s="371" t="s">
        <v>928</v>
      </c>
      <c r="G795" s="55"/>
      <c r="H795" s="56"/>
      <c r="I795" s="57">
        <v>7822.9623119463167</v>
      </c>
      <c r="J795" s="58"/>
      <c r="K795" s="58"/>
      <c r="L795" s="59"/>
      <c r="M795" s="60">
        <v>4.0000000000000002E-4</v>
      </c>
      <c r="N795" s="61">
        <f t="shared" si="901"/>
        <v>312.91849247785268</v>
      </c>
      <c r="O795" s="58">
        <f t="shared" si="902"/>
        <v>8135.8808044241696</v>
      </c>
      <c r="P795" s="61">
        <f t="shared" si="945"/>
        <v>16271.761608848339</v>
      </c>
      <c r="Q795" s="61">
        <f t="shared" si="946"/>
        <v>12203.821206636254</v>
      </c>
      <c r="R795" s="61">
        <f t="shared" si="947"/>
        <v>4067.9404022120848</v>
      </c>
      <c r="S795" s="61">
        <f t="shared" si="948"/>
        <v>542.39205362827795</v>
      </c>
      <c r="T795" s="58">
        <f t="shared" si="949"/>
        <v>622.61183835990016</v>
      </c>
      <c r="U795" s="61">
        <f t="shared" si="950"/>
        <v>6101.910603318127</v>
      </c>
      <c r="V795" s="58">
        <f t="shared" si="951"/>
        <v>2033.9702011060424</v>
      </c>
      <c r="W795" s="62">
        <v>0</v>
      </c>
      <c r="X795" s="63">
        <f t="shared" si="903"/>
        <v>0</v>
      </c>
      <c r="Y795" s="61">
        <v>1077.5681930618007</v>
      </c>
      <c r="Z795" s="61">
        <v>0</v>
      </c>
      <c r="AA795" s="61">
        <f t="shared" si="904"/>
        <v>2033.9702011060424</v>
      </c>
      <c r="AB795" s="61">
        <f t="shared" si="905"/>
        <v>406.79404022120849</v>
      </c>
      <c r="AC795" s="61">
        <v>2542.6980454117233</v>
      </c>
      <c r="AD795" s="61">
        <v>1631.8967589332165</v>
      </c>
      <c r="AE795" s="61">
        <v>965.04834945784535</v>
      </c>
      <c r="AF795" s="61">
        <v>0</v>
      </c>
      <c r="AG795" s="61">
        <f t="shared" si="906"/>
        <v>561.3757755052676</v>
      </c>
      <c r="AH795" s="64"/>
      <c r="AI795" s="64"/>
      <c r="AJ795" s="369">
        <v>127</v>
      </c>
      <c r="AK795" s="372" t="s">
        <v>42</v>
      </c>
      <c r="AL795" s="365"/>
      <c r="AM795" s="391" t="s">
        <v>55</v>
      </c>
      <c r="AN795" s="371" t="s">
        <v>928</v>
      </c>
      <c r="AO795" s="368">
        <f t="shared" si="958"/>
        <v>54917.195429863146</v>
      </c>
      <c r="AP795" s="368">
        <f t="shared" si="958"/>
        <v>18305.731809954381</v>
      </c>
      <c r="AQ795" s="368">
        <f t="shared" si="959"/>
        <v>0</v>
      </c>
      <c r="AR795" s="368">
        <f t="shared" si="959"/>
        <v>4849.0568687781033</v>
      </c>
      <c r="AS795" s="368">
        <f t="shared" si="959"/>
        <v>0</v>
      </c>
      <c r="AT795" s="368">
        <f t="shared" si="959"/>
        <v>9152.8659049771904</v>
      </c>
      <c r="AU795" s="368">
        <f t="shared" si="959"/>
        <v>1830.5731809954382</v>
      </c>
      <c r="AV795" s="368">
        <f t="shared" si="959"/>
        <v>11442.141204352754</v>
      </c>
      <c r="AW795" s="368">
        <f t="shared" si="959"/>
        <v>7343.5354151994743</v>
      </c>
      <c r="AX795" s="368">
        <f t="shared" si="959"/>
        <v>4342.7175725603038</v>
      </c>
      <c r="AY795" s="368">
        <f t="shared" si="959"/>
        <v>0</v>
      </c>
      <c r="AZ795" s="368">
        <f t="shared" si="959"/>
        <v>2526.1909897737041</v>
      </c>
      <c r="BB795" s="64"/>
      <c r="BC795" s="66"/>
      <c r="BD795" s="66"/>
      <c r="BE795" s="66"/>
    </row>
    <row r="796" spans="2:57" s="364" customFormat="1" ht="21" customHeight="1" x14ac:dyDescent="0.2">
      <c r="B796" s="369">
        <v>128</v>
      </c>
      <c r="C796" s="372" t="s">
        <v>42</v>
      </c>
      <c r="D796" s="365"/>
      <c r="E796" s="391" t="s">
        <v>55</v>
      </c>
      <c r="F796" s="371" t="s">
        <v>928</v>
      </c>
      <c r="G796" s="384"/>
      <c r="H796" s="56"/>
      <c r="I796" s="57">
        <v>7822.9623119463167</v>
      </c>
      <c r="J796" s="58"/>
      <c r="K796" s="58"/>
      <c r="L796" s="59"/>
      <c r="M796" s="60">
        <v>4.0000000000000002E-4</v>
      </c>
      <c r="N796" s="61">
        <f t="shared" si="901"/>
        <v>312.91849247785268</v>
      </c>
      <c r="O796" s="58">
        <f t="shared" si="902"/>
        <v>8135.8808044241696</v>
      </c>
      <c r="P796" s="61">
        <f t="shared" si="945"/>
        <v>16271.761608848339</v>
      </c>
      <c r="Q796" s="61">
        <f t="shared" si="946"/>
        <v>12203.821206636254</v>
      </c>
      <c r="R796" s="61">
        <f t="shared" si="947"/>
        <v>4067.9404022120848</v>
      </c>
      <c r="S796" s="61">
        <f t="shared" si="948"/>
        <v>542.39205362827795</v>
      </c>
      <c r="T796" s="58">
        <f t="shared" si="949"/>
        <v>622.61183835990016</v>
      </c>
      <c r="U796" s="61">
        <f t="shared" si="950"/>
        <v>6101.910603318127</v>
      </c>
      <c r="V796" s="58">
        <f t="shared" si="951"/>
        <v>2033.9702011060424</v>
      </c>
      <c r="W796" s="62">
        <v>0</v>
      </c>
      <c r="X796" s="63">
        <f t="shared" si="903"/>
        <v>0</v>
      </c>
      <c r="Y796" s="61">
        <v>1077.5681930618007</v>
      </c>
      <c r="Z796" s="61">
        <v>0</v>
      </c>
      <c r="AA796" s="61">
        <f t="shared" si="904"/>
        <v>2033.9702011060424</v>
      </c>
      <c r="AB796" s="61">
        <f t="shared" si="905"/>
        <v>406.79404022120849</v>
      </c>
      <c r="AC796" s="61">
        <v>2542.6980454117233</v>
      </c>
      <c r="AD796" s="61">
        <v>1631.8967589332165</v>
      </c>
      <c r="AE796" s="61">
        <v>965.04834945784535</v>
      </c>
      <c r="AF796" s="61">
        <v>0</v>
      </c>
      <c r="AG796" s="61">
        <f t="shared" si="906"/>
        <v>561.3757755052676</v>
      </c>
      <c r="AH796" s="64"/>
      <c r="AI796" s="64"/>
      <c r="AJ796" s="369">
        <v>128</v>
      </c>
      <c r="AK796" s="372" t="s">
        <v>42</v>
      </c>
      <c r="AL796" s="365"/>
      <c r="AM796" s="391" t="s">
        <v>55</v>
      </c>
      <c r="AN796" s="371" t="s">
        <v>928</v>
      </c>
      <c r="AO796" s="368">
        <f t="shared" si="958"/>
        <v>54917.195429863146</v>
      </c>
      <c r="AP796" s="368">
        <f t="shared" si="958"/>
        <v>18305.731809954381</v>
      </c>
      <c r="AQ796" s="368">
        <f t="shared" si="959"/>
        <v>0</v>
      </c>
      <c r="AR796" s="368">
        <f t="shared" si="959"/>
        <v>4849.0568687781033</v>
      </c>
      <c r="AS796" s="368">
        <f t="shared" si="959"/>
        <v>0</v>
      </c>
      <c r="AT796" s="368">
        <f t="shared" si="959"/>
        <v>9152.8659049771904</v>
      </c>
      <c r="AU796" s="368">
        <f t="shared" si="959"/>
        <v>1830.5731809954382</v>
      </c>
      <c r="AV796" s="368">
        <f t="shared" si="959"/>
        <v>11442.141204352754</v>
      </c>
      <c r="AW796" s="368">
        <f t="shared" si="959"/>
        <v>7343.5354151994743</v>
      </c>
      <c r="AX796" s="368">
        <f t="shared" si="959"/>
        <v>4342.7175725603038</v>
      </c>
      <c r="AY796" s="368">
        <f t="shared" si="959"/>
        <v>0</v>
      </c>
      <c r="AZ796" s="368">
        <f t="shared" si="959"/>
        <v>2526.1909897737041</v>
      </c>
      <c r="BB796" s="64"/>
      <c r="BC796" s="66"/>
      <c r="BD796" s="66"/>
      <c r="BE796" s="66"/>
    </row>
    <row r="797" spans="2:57" s="364" customFormat="1" ht="21" customHeight="1" x14ac:dyDescent="0.2">
      <c r="B797" s="369">
        <v>129</v>
      </c>
      <c r="C797" s="372" t="s">
        <v>42</v>
      </c>
      <c r="D797" s="443"/>
      <c r="E797" s="391" t="s">
        <v>55</v>
      </c>
      <c r="F797" s="371" t="s">
        <v>951</v>
      </c>
      <c r="G797" s="384"/>
      <c r="H797" s="56"/>
      <c r="I797" s="57">
        <v>7822.9623119463167</v>
      </c>
      <c r="J797" s="58"/>
      <c r="K797" s="58"/>
      <c r="L797" s="59"/>
      <c r="M797" s="60">
        <v>4.0000000000000002E-4</v>
      </c>
      <c r="N797" s="61">
        <f t="shared" si="901"/>
        <v>312.91849247785268</v>
      </c>
      <c r="O797" s="58">
        <f t="shared" si="902"/>
        <v>8135.8808044241696</v>
      </c>
      <c r="P797" s="61">
        <f t="shared" si="945"/>
        <v>16271.761608848339</v>
      </c>
      <c r="Q797" s="61">
        <f t="shared" si="946"/>
        <v>12203.821206636254</v>
      </c>
      <c r="R797" s="61">
        <f t="shared" si="947"/>
        <v>4067.9404022120848</v>
      </c>
      <c r="S797" s="61">
        <f t="shared" si="948"/>
        <v>542.39205362827795</v>
      </c>
      <c r="T797" s="58">
        <f t="shared" si="949"/>
        <v>622.61183835990016</v>
      </c>
      <c r="U797" s="61">
        <f t="shared" si="950"/>
        <v>6101.910603318127</v>
      </c>
      <c r="V797" s="58">
        <f t="shared" si="951"/>
        <v>2033.9702011060424</v>
      </c>
      <c r="W797" s="62">
        <v>0</v>
      </c>
      <c r="X797" s="63">
        <f t="shared" si="903"/>
        <v>0</v>
      </c>
      <c r="Y797" s="61">
        <v>1077.5681930618007</v>
      </c>
      <c r="Z797" s="61">
        <v>0</v>
      </c>
      <c r="AA797" s="61">
        <f t="shared" si="904"/>
        <v>2033.9702011060424</v>
      </c>
      <c r="AB797" s="61">
        <f t="shared" si="905"/>
        <v>406.79404022120849</v>
      </c>
      <c r="AC797" s="61">
        <v>2542.6980454117233</v>
      </c>
      <c r="AD797" s="61">
        <v>1631.8967589332165</v>
      </c>
      <c r="AE797" s="61">
        <v>965.04834945784535</v>
      </c>
      <c r="AF797" s="61">
        <v>0</v>
      </c>
      <c r="AG797" s="61">
        <f t="shared" si="906"/>
        <v>561.3757755052676</v>
      </c>
      <c r="AH797" s="64"/>
      <c r="AI797" s="64"/>
      <c r="AJ797" s="369">
        <v>129</v>
      </c>
      <c r="AK797" s="372" t="s">
        <v>42</v>
      </c>
      <c r="AL797" s="443"/>
      <c r="AM797" s="391" t="s">
        <v>55</v>
      </c>
      <c r="AN797" s="371" t="s">
        <v>951</v>
      </c>
      <c r="AO797" s="368">
        <f t="shared" si="958"/>
        <v>54917.195429863146</v>
      </c>
      <c r="AP797" s="368">
        <f t="shared" si="958"/>
        <v>18305.731809954381</v>
      </c>
      <c r="AQ797" s="368">
        <f t="shared" si="959"/>
        <v>0</v>
      </c>
      <c r="AR797" s="368">
        <f t="shared" si="959"/>
        <v>4849.0568687781033</v>
      </c>
      <c r="AS797" s="368">
        <f t="shared" si="959"/>
        <v>0</v>
      </c>
      <c r="AT797" s="368">
        <f t="shared" si="959"/>
        <v>9152.8659049771904</v>
      </c>
      <c r="AU797" s="368">
        <f t="shared" si="959"/>
        <v>1830.5731809954382</v>
      </c>
      <c r="AV797" s="368">
        <f t="shared" si="959"/>
        <v>11442.141204352754</v>
      </c>
      <c r="AW797" s="368">
        <f t="shared" si="959"/>
        <v>7343.5354151994743</v>
      </c>
      <c r="AX797" s="368">
        <f t="shared" si="959"/>
        <v>4342.7175725603038</v>
      </c>
      <c r="AY797" s="368">
        <f t="shared" si="959"/>
        <v>0</v>
      </c>
      <c r="AZ797" s="368">
        <f t="shared" si="959"/>
        <v>2526.1909897737041</v>
      </c>
      <c r="BB797" s="64"/>
      <c r="BC797" s="66"/>
      <c r="BD797" s="66"/>
      <c r="BE797" s="66"/>
    </row>
    <row r="798" spans="2:57" s="364" customFormat="1" ht="21" customHeight="1" x14ac:dyDescent="0.2">
      <c r="B798" s="369">
        <v>130</v>
      </c>
      <c r="C798" s="372" t="s">
        <v>42</v>
      </c>
      <c r="D798" s="365"/>
      <c r="E798" s="391" t="s">
        <v>55</v>
      </c>
      <c r="F798" s="371" t="s">
        <v>928</v>
      </c>
      <c r="G798" s="365"/>
      <c r="H798" s="56"/>
      <c r="I798" s="57">
        <v>7822.9623119463167</v>
      </c>
      <c r="J798" s="58"/>
      <c r="K798" s="58"/>
      <c r="L798" s="59"/>
      <c r="M798" s="60">
        <v>4.0000000000000002E-4</v>
      </c>
      <c r="N798" s="61">
        <f t="shared" ref="N798:N809" si="960">I798*0.04</f>
        <v>312.91849247785268</v>
      </c>
      <c r="O798" s="58">
        <f t="shared" ref="O798:O809" si="961">I798+N798</f>
        <v>8135.8808044241696</v>
      </c>
      <c r="P798" s="61">
        <f t="shared" si="945"/>
        <v>16271.761608848339</v>
      </c>
      <c r="Q798" s="61">
        <f t="shared" si="946"/>
        <v>12203.821206636254</v>
      </c>
      <c r="R798" s="61">
        <f t="shared" si="947"/>
        <v>4067.9404022120848</v>
      </c>
      <c r="S798" s="61">
        <f t="shared" si="948"/>
        <v>542.39205362827795</v>
      </c>
      <c r="T798" s="58">
        <f t="shared" si="949"/>
        <v>622.61183835990016</v>
      </c>
      <c r="U798" s="61">
        <f t="shared" si="950"/>
        <v>6101.910603318127</v>
      </c>
      <c r="V798" s="58">
        <f t="shared" si="951"/>
        <v>2033.9702011060424</v>
      </c>
      <c r="W798" s="62">
        <v>0</v>
      </c>
      <c r="X798" s="63">
        <f t="shared" ref="X798:X809" si="962">P798*W798</f>
        <v>0</v>
      </c>
      <c r="Y798" s="61">
        <v>1077.5681930618007</v>
      </c>
      <c r="Z798" s="61">
        <v>0</v>
      </c>
      <c r="AA798" s="61">
        <f t="shared" ref="AA798:AA809" si="963">(S798*45)/12</f>
        <v>2033.9702011060424</v>
      </c>
      <c r="AB798" s="61">
        <f t="shared" ref="AB798:AB809" si="964">(S798*10)*(0.45*2)/12</f>
        <v>406.79404022120849</v>
      </c>
      <c r="AC798" s="61">
        <v>2542.6980454117233</v>
      </c>
      <c r="AD798" s="61">
        <v>1631.8967589332165</v>
      </c>
      <c r="AE798" s="61">
        <v>965.04834945784535</v>
      </c>
      <c r="AF798" s="61">
        <v>0</v>
      </c>
      <c r="AG798" s="61">
        <f t="shared" ref="AG798:AG809" si="965">(P798+AA798+AB798)*0.03</f>
        <v>561.3757755052676</v>
      </c>
      <c r="AH798" s="64"/>
      <c r="AI798" s="64"/>
      <c r="AJ798" s="369">
        <v>130</v>
      </c>
      <c r="AK798" s="372" t="s">
        <v>42</v>
      </c>
      <c r="AL798" s="365"/>
      <c r="AM798" s="391" t="s">
        <v>55</v>
      </c>
      <c r="AN798" s="371" t="s">
        <v>928</v>
      </c>
      <c r="AO798" s="401">
        <f>Q798*7.5</f>
        <v>91528.659049771901</v>
      </c>
      <c r="AP798" s="368">
        <f>R798*7.5</f>
        <v>30509.553016590635</v>
      </c>
      <c r="AQ798" s="368">
        <f t="shared" ref="AQ798:AZ798" si="966">X798*7.5</f>
        <v>0</v>
      </c>
      <c r="AR798" s="368">
        <f t="shared" si="966"/>
        <v>8081.7614479635049</v>
      </c>
      <c r="AS798" s="368">
        <f t="shared" si="966"/>
        <v>0</v>
      </c>
      <c r="AT798" s="368">
        <f t="shared" si="966"/>
        <v>15254.776508295317</v>
      </c>
      <c r="AU798" s="368">
        <f t="shared" si="966"/>
        <v>3050.9553016590635</v>
      </c>
      <c r="AV798" s="368">
        <f t="shared" si="966"/>
        <v>19070.235340587926</v>
      </c>
      <c r="AW798" s="368">
        <f t="shared" si="966"/>
        <v>12239.225691999123</v>
      </c>
      <c r="AX798" s="368">
        <f t="shared" si="966"/>
        <v>7237.8626209338399</v>
      </c>
      <c r="AY798" s="368">
        <f t="shared" si="966"/>
        <v>0</v>
      </c>
      <c r="AZ798" s="368">
        <f t="shared" si="966"/>
        <v>4210.3183162895066</v>
      </c>
      <c r="BB798" s="64"/>
      <c r="BC798" s="66"/>
      <c r="BD798" s="66"/>
      <c r="BE798" s="66"/>
    </row>
    <row r="799" spans="2:57" s="364" customFormat="1" ht="21" customHeight="1" x14ac:dyDescent="0.2">
      <c r="B799" s="369">
        <v>131</v>
      </c>
      <c r="C799" s="372" t="s">
        <v>42</v>
      </c>
      <c r="D799" s="365"/>
      <c r="E799" s="391" t="s">
        <v>55</v>
      </c>
      <c r="F799" s="371" t="s">
        <v>928</v>
      </c>
      <c r="G799" s="443"/>
      <c r="H799" s="56"/>
      <c r="I799" s="57">
        <v>7822.9623119463167</v>
      </c>
      <c r="J799" s="58"/>
      <c r="K799" s="58"/>
      <c r="L799" s="59"/>
      <c r="M799" s="60">
        <v>4.0000000000000002E-4</v>
      </c>
      <c r="N799" s="61">
        <f t="shared" si="960"/>
        <v>312.91849247785268</v>
      </c>
      <c r="O799" s="58">
        <f t="shared" si="961"/>
        <v>8135.8808044241696</v>
      </c>
      <c r="P799" s="61">
        <f t="shared" si="945"/>
        <v>16271.761608848339</v>
      </c>
      <c r="Q799" s="61">
        <f t="shared" si="946"/>
        <v>12203.821206636254</v>
      </c>
      <c r="R799" s="61">
        <f t="shared" si="947"/>
        <v>4067.9404022120848</v>
      </c>
      <c r="S799" s="61">
        <f t="shared" si="948"/>
        <v>542.39205362827795</v>
      </c>
      <c r="T799" s="58">
        <f t="shared" si="949"/>
        <v>622.61183835990016</v>
      </c>
      <c r="U799" s="61">
        <f t="shared" si="950"/>
        <v>6101.910603318127</v>
      </c>
      <c r="V799" s="58">
        <f t="shared" si="951"/>
        <v>2033.9702011060424</v>
      </c>
      <c r="W799" s="62">
        <v>0</v>
      </c>
      <c r="X799" s="63">
        <f t="shared" si="962"/>
        <v>0</v>
      </c>
      <c r="Y799" s="61">
        <v>1077.5681930618007</v>
      </c>
      <c r="Z799" s="61">
        <v>0</v>
      </c>
      <c r="AA799" s="61">
        <f t="shared" si="963"/>
        <v>2033.9702011060424</v>
      </c>
      <c r="AB799" s="61">
        <f t="shared" si="964"/>
        <v>406.79404022120849</v>
      </c>
      <c r="AC799" s="61">
        <v>2542.6980454117233</v>
      </c>
      <c r="AD799" s="61">
        <v>1631.8967589332165</v>
      </c>
      <c r="AE799" s="61">
        <v>965.04834945784535</v>
      </c>
      <c r="AF799" s="61">
        <v>0</v>
      </c>
      <c r="AG799" s="61">
        <f t="shared" si="965"/>
        <v>561.3757755052676</v>
      </c>
      <c r="AH799" s="64"/>
      <c r="AI799" s="64"/>
      <c r="AJ799" s="369">
        <v>131</v>
      </c>
      <c r="AK799" s="372" t="s">
        <v>42</v>
      </c>
      <c r="AL799" s="365"/>
      <c r="AM799" s="391" t="s">
        <v>55</v>
      </c>
      <c r="AN799" s="371" t="s">
        <v>928</v>
      </c>
      <c r="AO799" s="368">
        <f t="shared" ref="AO799:AP805" si="967">Q799*4.5</f>
        <v>54917.195429863146</v>
      </c>
      <c r="AP799" s="368">
        <f t="shared" si="967"/>
        <v>18305.731809954381</v>
      </c>
      <c r="AQ799" s="368">
        <f t="shared" ref="AQ799:AZ805" si="968">X799*4.5</f>
        <v>0</v>
      </c>
      <c r="AR799" s="368">
        <f t="shared" si="968"/>
        <v>4849.0568687781033</v>
      </c>
      <c r="AS799" s="368">
        <f t="shared" si="968"/>
        <v>0</v>
      </c>
      <c r="AT799" s="368">
        <f t="shared" si="968"/>
        <v>9152.8659049771904</v>
      </c>
      <c r="AU799" s="368">
        <f t="shared" si="968"/>
        <v>1830.5731809954382</v>
      </c>
      <c r="AV799" s="368">
        <f t="shared" si="968"/>
        <v>11442.141204352754</v>
      </c>
      <c r="AW799" s="368">
        <f t="shared" si="968"/>
        <v>7343.5354151994743</v>
      </c>
      <c r="AX799" s="368">
        <f t="shared" si="968"/>
        <v>4342.7175725603038</v>
      </c>
      <c r="AY799" s="368">
        <f t="shared" si="968"/>
        <v>0</v>
      </c>
      <c r="AZ799" s="368">
        <f t="shared" si="968"/>
        <v>2526.1909897737041</v>
      </c>
      <c r="BB799" s="64"/>
      <c r="BC799" s="66"/>
      <c r="BD799" s="66"/>
      <c r="BE799" s="66"/>
    </row>
    <row r="800" spans="2:57" s="364" customFormat="1" ht="21" customHeight="1" x14ac:dyDescent="0.2">
      <c r="B800" s="369">
        <v>132</v>
      </c>
      <c r="C800" s="372" t="s">
        <v>42</v>
      </c>
      <c r="D800" s="443"/>
      <c r="E800" s="391" t="s">
        <v>55</v>
      </c>
      <c r="F800" s="371" t="s">
        <v>928</v>
      </c>
      <c r="G800" s="365"/>
      <c r="H800" s="56"/>
      <c r="I800" s="57">
        <v>7822.9623119463167</v>
      </c>
      <c r="J800" s="58"/>
      <c r="K800" s="58"/>
      <c r="L800" s="59"/>
      <c r="M800" s="60">
        <v>4.0000000000000002E-4</v>
      </c>
      <c r="N800" s="61">
        <f t="shared" si="960"/>
        <v>312.91849247785268</v>
      </c>
      <c r="O800" s="58">
        <f t="shared" si="961"/>
        <v>8135.8808044241696</v>
      </c>
      <c r="P800" s="61">
        <f t="shared" si="945"/>
        <v>16271.761608848339</v>
      </c>
      <c r="Q800" s="61">
        <f t="shared" si="946"/>
        <v>12203.821206636254</v>
      </c>
      <c r="R800" s="61">
        <f t="shared" si="947"/>
        <v>4067.9404022120848</v>
      </c>
      <c r="S800" s="61">
        <f t="shared" si="948"/>
        <v>542.39205362827795</v>
      </c>
      <c r="T800" s="58">
        <f t="shared" si="949"/>
        <v>622.61183835990016</v>
      </c>
      <c r="U800" s="61">
        <f t="shared" si="950"/>
        <v>6101.910603318127</v>
      </c>
      <c r="V800" s="58">
        <f t="shared" si="951"/>
        <v>2033.9702011060424</v>
      </c>
      <c r="W800" s="62">
        <v>0</v>
      </c>
      <c r="X800" s="63">
        <f t="shared" si="962"/>
        <v>0</v>
      </c>
      <c r="Y800" s="61">
        <v>1077.5681930618007</v>
      </c>
      <c r="Z800" s="61">
        <v>0</v>
      </c>
      <c r="AA800" s="61">
        <f t="shared" si="963"/>
        <v>2033.9702011060424</v>
      </c>
      <c r="AB800" s="61">
        <f t="shared" si="964"/>
        <v>406.79404022120849</v>
      </c>
      <c r="AC800" s="61">
        <v>2542.6980454117233</v>
      </c>
      <c r="AD800" s="61">
        <v>1631.8967589332165</v>
      </c>
      <c r="AE800" s="61">
        <v>965.04834945784535</v>
      </c>
      <c r="AF800" s="61">
        <v>0</v>
      </c>
      <c r="AG800" s="61">
        <f t="shared" si="965"/>
        <v>561.3757755052676</v>
      </c>
      <c r="AH800" s="64"/>
      <c r="AI800" s="64"/>
      <c r="AJ800" s="369">
        <v>132</v>
      </c>
      <c r="AK800" s="372" t="s">
        <v>42</v>
      </c>
      <c r="AL800" s="443"/>
      <c r="AM800" s="391" t="s">
        <v>55</v>
      </c>
      <c r="AN800" s="371" t="s">
        <v>928</v>
      </c>
      <c r="AO800" s="368">
        <f t="shared" si="967"/>
        <v>54917.195429863146</v>
      </c>
      <c r="AP800" s="368">
        <f t="shared" si="967"/>
        <v>18305.731809954381</v>
      </c>
      <c r="AQ800" s="368">
        <f t="shared" si="968"/>
        <v>0</v>
      </c>
      <c r="AR800" s="368">
        <f t="shared" si="968"/>
        <v>4849.0568687781033</v>
      </c>
      <c r="AS800" s="368">
        <f t="shared" si="968"/>
        <v>0</v>
      </c>
      <c r="AT800" s="368">
        <f t="shared" si="968"/>
        <v>9152.8659049771904</v>
      </c>
      <c r="AU800" s="368">
        <f t="shared" si="968"/>
        <v>1830.5731809954382</v>
      </c>
      <c r="AV800" s="368">
        <f t="shared" si="968"/>
        <v>11442.141204352754</v>
      </c>
      <c r="AW800" s="368">
        <f t="shared" si="968"/>
        <v>7343.5354151994743</v>
      </c>
      <c r="AX800" s="368">
        <f t="shared" si="968"/>
        <v>4342.7175725603038</v>
      </c>
      <c r="AY800" s="368">
        <f t="shared" si="968"/>
        <v>0</v>
      </c>
      <c r="AZ800" s="368">
        <f t="shared" si="968"/>
        <v>2526.1909897737041</v>
      </c>
      <c r="BB800" s="64"/>
      <c r="BC800" s="66"/>
      <c r="BD800" s="66"/>
      <c r="BE800" s="66"/>
    </row>
    <row r="801" spans="1:177" s="364" customFormat="1" ht="21" customHeight="1" x14ac:dyDescent="0.2">
      <c r="B801" s="369">
        <v>133</v>
      </c>
      <c r="C801" s="372" t="s">
        <v>42</v>
      </c>
      <c r="D801" s="365"/>
      <c r="E801" s="391" t="s">
        <v>55</v>
      </c>
      <c r="F801" s="371" t="s">
        <v>928</v>
      </c>
      <c r="G801" s="365"/>
      <c r="H801" s="56"/>
      <c r="I801" s="57">
        <v>7822.9623119463167</v>
      </c>
      <c r="J801" s="58"/>
      <c r="K801" s="58"/>
      <c r="L801" s="59"/>
      <c r="M801" s="60">
        <v>4.0000000000000002E-4</v>
      </c>
      <c r="N801" s="61">
        <f t="shared" si="960"/>
        <v>312.91849247785268</v>
      </c>
      <c r="O801" s="58">
        <f t="shared" si="961"/>
        <v>8135.8808044241696</v>
      </c>
      <c r="P801" s="61">
        <f t="shared" si="945"/>
        <v>16271.761608848339</v>
      </c>
      <c r="Q801" s="61">
        <f t="shared" si="946"/>
        <v>12203.821206636254</v>
      </c>
      <c r="R801" s="61">
        <f t="shared" si="947"/>
        <v>4067.9404022120848</v>
      </c>
      <c r="S801" s="61">
        <f t="shared" si="948"/>
        <v>542.39205362827795</v>
      </c>
      <c r="T801" s="58">
        <f t="shared" si="949"/>
        <v>622.61183835990016</v>
      </c>
      <c r="U801" s="61">
        <f t="shared" si="950"/>
        <v>6101.910603318127</v>
      </c>
      <c r="V801" s="58">
        <f t="shared" si="951"/>
        <v>2033.9702011060424</v>
      </c>
      <c r="W801" s="62">
        <v>0</v>
      </c>
      <c r="X801" s="63">
        <f t="shared" si="962"/>
        <v>0</v>
      </c>
      <c r="Y801" s="61">
        <v>1077.5681930618007</v>
      </c>
      <c r="Z801" s="61">
        <v>0</v>
      </c>
      <c r="AA801" s="61">
        <f t="shared" si="963"/>
        <v>2033.9702011060424</v>
      </c>
      <c r="AB801" s="61">
        <f t="shared" si="964"/>
        <v>406.79404022120849</v>
      </c>
      <c r="AC801" s="61">
        <v>2542.6980454117233</v>
      </c>
      <c r="AD801" s="61">
        <v>1631.8967589332165</v>
      </c>
      <c r="AE801" s="61">
        <v>965.04834945784535</v>
      </c>
      <c r="AF801" s="61">
        <v>0</v>
      </c>
      <c r="AG801" s="61">
        <f t="shared" si="965"/>
        <v>561.3757755052676</v>
      </c>
      <c r="AH801" s="64"/>
      <c r="AI801" s="64"/>
      <c r="AJ801" s="369">
        <v>133</v>
      </c>
      <c r="AK801" s="372" t="s">
        <v>42</v>
      </c>
      <c r="AL801" s="365"/>
      <c r="AM801" s="391" t="s">
        <v>55</v>
      </c>
      <c r="AN801" s="371" t="s">
        <v>928</v>
      </c>
      <c r="AO801" s="368">
        <f t="shared" si="967"/>
        <v>54917.195429863146</v>
      </c>
      <c r="AP801" s="368">
        <f t="shared" si="967"/>
        <v>18305.731809954381</v>
      </c>
      <c r="AQ801" s="368">
        <f t="shared" si="968"/>
        <v>0</v>
      </c>
      <c r="AR801" s="368">
        <f t="shared" si="968"/>
        <v>4849.0568687781033</v>
      </c>
      <c r="AS801" s="368">
        <f t="shared" si="968"/>
        <v>0</v>
      </c>
      <c r="AT801" s="368">
        <f t="shared" si="968"/>
        <v>9152.8659049771904</v>
      </c>
      <c r="AU801" s="368">
        <f t="shared" si="968"/>
        <v>1830.5731809954382</v>
      </c>
      <c r="AV801" s="368">
        <f t="shared" si="968"/>
        <v>11442.141204352754</v>
      </c>
      <c r="AW801" s="368">
        <f t="shared" si="968"/>
        <v>7343.5354151994743</v>
      </c>
      <c r="AX801" s="368">
        <f t="shared" si="968"/>
        <v>4342.7175725603038</v>
      </c>
      <c r="AY801" s="368">
        <f t="shared" si="968"/>
        <v>0</v>
      </c>
      <c r="AZ801" s="368">
        <f t="shared" si="968"/>
        <v>2526.1909897737041</v>
      </c>
      <c r="BB801" s="64"/>
      <c r="BC801" s="66"/>
      <c r="BD801" s="66"/>
      <c r="BE801" s="66"/>
    </row>
    <row r="802" spans="1:177" s="364" customFormat="1" ht="21" customHeight="1" x14ac:dyDescent="0.2">
      <c r="B802" s="369">
        <v>134</v>
      </c>
      <c r="C802" s="372" t="s">
        <v>42</v>
      </c>
      <c r="D802" s="365"/>
      <c r="E802" s="391" t="s">
        <v>55</v>
      </c>
      <c r="F802" s="371" t="s">
        <v>928</v>
      </c>
      <c r="G802" s="365"/>
      <c r="H802" s="56"/>
      <c r="I802" s="57">
        <v>7822.9623119463167</v>
      </c>
      <c r="J802" s="58"/>
      <c r="K802" s="58"/>
      <c r="L802" s="59"/>
      <c r="M802" s="60">
        <v>4.0000000000000002E-4</v>
      </c>
      <c r="N802" s="61">
        <f t="shared" si="960"/>
        <v>312.91849247785268</v>
      </c>
      <c r="O802" s="58">
        <f t="shared" si="961"/>
        <v>8135.8808044241696</v>
      </c>
      <c r="P802" s="61">
        <f t="shared" si="945"/>
        <v>16271.761608848339</v>
      </c>
      <c r="Q802" s="61">
        <f t="shared" si="946"/>
        <v>12203.821206636254</v>
      </c>
      <c r="R802" s="61">
        <f t="shared" si="947"/>
        <v>4067.9404022120848</v>
      </c>
      <c r="S802" s="61">
        <f t="shared" si="948"/>
        <v>542.39205362827795</v>
      </c>
      <c r="T802" s="58">
        <f t="shared" si="949"/>
        <v>622.61183835990016</v>
      </c>
      <c r="U802" s="61">
        <f t="shared" si="950"/>
        <v>6101.910603318127</v>
      </c>
      <c r="V802" s="58">
        <f t="shared" si="951"/>
        <v>2033.9702011060424</v>
      </c>
      <c r="W802" s="62">
        <v>0</v>
      </c>
      <c r="X802" s="63">
        <f t="shared" si="962"/>
        <v>0</v>
      </c>
      <c r="Y802" s="61">
        <v>1077.5681930618007</v>
      </c>
      <c r="Z802" s="61">
        <v>0</v>
      </c>
      <c r="AA802" s="61">
        <f t="shared" si="963"/>
        <v>2033.9702011060424</v>
      </c>
      <c r="AB802" s="61">
        <f t="shared" si="964"/>
        <v>406.79404022120849</v>
      </c>
      <c r="AC802" s="61">
        <v>2542.6980454117233</v>
      </c>
      <c r="AD802" s="61">
        <v>1631.8967589332165</v>
      </c>
      <c r="AE802" s="61">
        <v>965.04834945784535</v>
      </c>
      <c r="AF802" s="61">
        <v>0</v>
      </c>
      <c r="AG802" s="61">
        <f t="shared" si="965"/>
        <v>561.3757755052676</v>
      </c>
      <c r="AH802" s="64"/>
      <c r="AI802" s="64"/>
      <c r="AJ802" s="369">
        <v>134</v>
      </c>
      <c r="AK802" s="372" t="s">
        <v>42</v>
      </c>
      <c r="AL802" s="365"/>
      <c r="AM802" s="391" t="s">
        <v>55</v>
      </c>
      <c r="AN802" s="371" t="s">
        <v>928</v>
      </c>
      <c r="AO802" s="368">
        <f t="shared" si="967"/>
        <v>54917.195429863146</v>
      </c>
      <c r="AP802" s="368">
        <f t="shared" si="967"/>
        <v>18305.731809954381</v>
      </c>
      <c r="AQ802" s="368">
        <f t="shared" si="968"/>
        <v>0</v>
      </c>
      <c r="AR802" s="368">
        <f t="shared" si="968"/>
        <v>4849.0568687781033</v>
      </c>
      <c r="AS802" s="368">
        <f t="shared" si="968"/>
        <v>0</v>
      </c>
      <c r="AT802" s="368">
        <f t="shared" si="968"/>
        <v>9152.8659049771904</v>
      </c>
      <c r="AU802" s="368">
        <f t="shared" si="968"/>
        <v>1830.5731809954382</v>
      </c>
      <c r="AV802" s="368">
        <f t="shared" si="968"/>
        <v>11442.141204352754</v>
      </c>
      <c r="AW802" s="368">
        <f t="shared" si="968"/>
        <v>7343.5354151994743</v>
      </c>
      <c r="AX802" s="368">
        <f t="shared" si="968"/>
        <v>4342.7175725603038</v>
      </c>
      <c r="AY802" s="368">
        <f t="shared" si="968"/>
        <v>0</v>
      </c>
      <c r="AZ802" s="368">
        <f t="shared" si="968"/>
        <v>2526.1909897737041</v>
      </c>
      <c r="BB802" s="64"/>
      <c r="BC802" s="66"/>
      <c r="BD802" s="66"/>
      <c r="BE802" s="66"/>
    </row>
    <row r="803" spans="1:177" s="364" customFormat="1" ht="21" customHeight="1" x14ac:dyDescent="0.2">
      <c r="B803" s="369">
        <v>135</v>
      </c>
      <c r="C803" s="372" t="s">
        <v>42</v>
      </c>
      <c r="D803" s="443"/>
      <c r="E803" s="391" t="s">
        <v>55</v>
      </c>
      <c r="F803" s="371" t="s">
        <v>951</v>
      </c>
      <c r="G803" s="443"/>
      <c r="H803" s="56"/>
      <c r="I803" s="57">
        <v>7822.9623119463167</v>
      </c>
      <c r="J803" s="58"/>
      <c r="K803" s="58"/>
      <c r="L803" s="59"/>
      <c r="M803" s="60">
        <v>4.0000000000000002E-4</v>
      </c>
      <c r="N803" s="61">
        <f t="shared" si="960"/>
        <v>312.91849247785268</v>
      </c>
      <c r="O803" s="58">
        <f t="shared" si="961"/>
        <v>8135.8808044241696</v>
      </c>
      <c r="P803" s="61">
        <f t="shared" si="945"/>
        <v>16271.761608848339</v>
      </c>
      <c r="Q803" s="61">
        <f t="shared" si="946"/>
        <v>12203.821206636254</v>
      </c>
      <c r="R803" s="61">
        <f t="shared" si="947"/>
        <v>4067.9404022120848</v>
      </c>
      <c r="S803" s="61">
        <f t="shared" si="948"/>
        <v>542.39205362827795</v>
      </c>
      <c r="T803" s="58">
        <f t="shared" si="949"/>
        <v>622.61183835990016</v>
      </c>
      <c r="U803" s="61">
        <f t="shared" si="950"/>
        <v>6101.910603318127</v>
      </c>
      <c r="V803" s="58">
        <f t="shared" si="951"/>
        <v>2033.9702011060424</v>
      </c>
      <c r="W803" s="62">
        <v>0</v>
      </c>
      <c r="X803" s="63">
        <f t="shared" si="962"/>
        <v>0</v>
      </c>
      <c r="Y803" s="61">
        <v>1077.5681930618007</v>
      </c>
      <c r="Z803" s="61">
        <v>0</v>
      </c>
      <c r="AA803" s="61">
        <f t="shared" si="963"/>
        <v>2033.9702011060424</v>
      </c>
      <c r="AB803" s="61">
        <f t="shared" si="964"/>
        <v>406.79404022120849</v>
      </c>
      <c r="AC803" s="61">
        <v>2542.6980454117233</v>
      </c>
      <c r="AD803" s="61">
        <v>1631.8967589332165</v>
      </c>
      <c r="AE803" s="61">
        <v>965.04834945784535</v>
      </c>
      <c r="AF803" s="61">
        <v>0</v>
      </c>
      <c r="AG803" s="61">
        <f t="shared" si="965"/>
        <v>561.3757755052676</v>
      </c>
      <c r="AH803" s="64"/>
      <c r="AI803" s="64"/>
      <c r="AJ803" s="369">
        <v>135</v>
      </c>
      <c r="AK803" s="372" t="s">
        <v>42</v>
      </c>
      <c r="AL803" s="443"/>
      <c r="AM803" s="391" t="s">
        <v>55</v>
      </c>
      <c r="AN803" s="371" t="s">
        <v>951</v>
      </c>
      <c r="AO803" s="368">
        <f t="shared" si="967"/>
        <v>54917.195429863146</v>
      </c>
      <c r="AP803" s="368">
        <f t="shared" si="967"/>
        <v>18305.731809954381</v>
      </c>
      <c r="AQ803" s="368">
        <f t="shared" si="968"/>
        <v>0</v>
      </c>
      <c r="AR803" s="368">
        <f t="shared" si="968"/>
        <v>4849.0568687781033</v>
      </c>
      <c r="AS803" s="368">
        <f t="shared" si="968"/>
        <v>0</v>
      </c>
      <c r="AT803" s="368">
        <f t="shared" si="968"/>
        <v>9152.8659049771904</v>
      </c>
      <c r="AU803" s="368">
        <f t="shared" si="968"/>
        <v>1830.5731809954382</v>
      </c>
      <c r="AV803" s="368">
        <f t="shared" si="968"/>
        <v>11442.141204352754</v>
      </c>
      <c r="AW803" s="368">
        <f t="shared" si="968"/>
        <v>7343.5354151994743</v>
      </c>
      <c r="AX803" s="368">
        <f t="shared" si="968"/>
        <v>4342.7175725603038</v>
      </c>
      <c r="AY803" s="368">
        <f t="shared" si="968"/>
        <v>0</v>
      </c>
      <c r="AZ803" s="368">
        <f t="shared" si="968"/>
        <v>2526.1909897737041</v>
      </c>
      <c r="BB803" s="64"/>
      <c r="BC803" s="66"/>
      <c r="BD803" s="66"/>
      <c r="BE803" s="66"/>
    </row>
    <row r="804" spans="1:177" s="364" customFormat="1" ht="21" customHeight="1" x14ac:dyDescent="0.2">
      <c r="B804" s="369">
        <v>136</v>
      </c>
      <c r="C804" s="372" t="s">
        <v>42</v>
      </c>
      <c r="D804" s="365"/>
      <c r="E804" s="391" t="s">
        <v>55</v>
      </c>
      <c r="F804" s="371" t="s">
        <v>928</v>
      </c>
      <c r="G804" s="443"/>
      <c r="H804" s="56"/>
      <c r="I804" s="57">
        <v>7822.9623119463167</v>
      </c>
      <c r="J804" s="58"/>
      <c r="K804" s="58"/>
      <c r="L804" s="59"/>
      <c r="M804" s="60">
        <v>4.0000000000000002E-4</v>
      </c>
      <c r="N804" s="61">
        <f t="shared" si="960"/>
        <v>312.91849247785268</v>
      </c>
      <c r="O804" s="58">
        <f t="shared" si="961"/>
        <v>8135.8808044241696</v>
      </c>
      <c r="P804" s="61">
        <f t="shared" si="945"/>
        <v>16271.761608848339</v>
      </c>
      <c r="Q804" s="61">
        <f t="shared" si="946"/>
        <v>12203.821206636254</v>
      </c>
      <c r="R804" s="61">
        <f t="shared" si="947"/>
        <v>4067.9404022120848</v>
      </c>
      <c r="S804" s="61">
        <f t="shared" si="948"/>
        <v>542.39205362827795</v>
      </c>
      <c r="T804" s="58">
        <f t="shared" si="949"/>
        <v>622.61183835990016</v>
      </c>
      <c r="U804" s="61">
        <f t="shared" si="950"/>
        <v>6101.910603318127</v>
      </c>
      <c r="V804" s="58">
        <f t="shared" si="951"/>
        <v>2033.9702011060424</v>
      </c>
      <c r="W804" s="62">
        <v>0</v>
      </c>
      <c r="X804" s="63">
        <f t="shared" si="962"/>
        <v>0</v>
      </c>
      <c r="Y804" s="61">
        <v>1077.5681930618007</v>
      </c>
      <c r="Z804" s="61">
        <v>0</v>
      </c>
      <c r="AA804" s="61">
        <f t="shared" si="963"/>
        <v>2033.9702011060424</v>
      </c>
      <c r="AB804" s="61">
        <f t="shared" si="964"/>
        <v>406.79404022120849</v>
      </c>
      <c r="AC804" s="61">
        <v>2542.6980454117233</v>
      </c>
      <c r="AD804" s="61">
        <v>1631.8967589332165</v>
      </c>
      <c r="AE804" s="61">
        <v>965.04834945784535</v>
      </c>
      <c r="AF804" s="61">
        <v>0</v>
      </c>
      <c r="AG804" s="61">
        <f t="shared" si="965"/>
        <v>561.3757755052676</v>
      </c>
      <c r="AH804" s="64"/>
      <c r="AI804" s="64"/>
      <c r="AJ804" s="369">
        <v>136</v>
      </c>
      <c r="AK804" s="372" t="s">
        <v>42</v>
      </c>
      <c r="AL804" s="365"/>
      <c r="AM804" s="391" t="s">
        <v>55</v>
      </c>
      <c r="AN804" s="371" t="s">
        <v>928</v>
      </c>
      <c r="AO804" s="368">
        <f t="shared" si="967"/>
        <v>54917.195429863146</v>
      </c>
      <c r="AP804" s="368">
        <f t="shared" si="967"/>
        <v>18305.731809954381</v>
      </c>
      <c r="AQ804" s="368">
        <f t="shared" si="968"/>
        <v>0</v>
      </c>
      <c r="AR804" s="368">
        <f t="shared" si="968"/>
        <v>4849.0568687781033</v>
      </c>
      <c r="AS804" s="368">
        <f t="shared" si="968"/>
        <v>0</v>
      </c>
      <c r="AT804" s="368">
        <f t="shared" si="968"/>
        <v>9152.8659049771904</v>
      </c>
      <c r="AU804" s="368">
        <f t="shared" si="968"/>
        <v>1830.5731809954382</v>
      </c>
      <c r="AV804" s="368">
        <f t="shared" si="968"/>
        <v>11442.141204352754</v>
      </c>
      <c r="AW804" s="368">
        <f t="shared" si="968"/>
        <v>7343.5354151994743</v>
      </c>
      <c r="AX804" s="368">
        <f t="shared" si="968"/>
        <v>4342.7175725603038</v>
      </c>
      <c r="AY804" s="368">
        <f t="shared" si="968"/>
        <v>0</v>
      </c>
      <c r="AZ804" s="368">
        <f t="shared" si="968"/>
        <v>2526.1909897737041</v>
      </c>
      <c r="BB804" s="64"/>
      <c r="BC804" s="66"/>
      <c r="BD804" s="66"/>
      <c r="BE804" s="66"/>
    </row>
    <row r="805" spans="1:177" s="364" customFormat="1" ht="21" customHeight="1" x14ac:dyDescent="0.2">
      <c r="B805" s="369">
        <v>137</v>
      </c>
      <c r="C805" s="372" t="s">
        <v>42</v>
      </c>
      <c r="D805" s="365"/>
      <c r="E805" s="391" t="s">
        <v>55</v>
      </c>
      <c r="F805" s="371" t="s">
        <v>951</v>
      </c>
      <c r="G805" s="365"/>
      <c r="H805" s="56"/>
      <c r="I805" s="57">
        <v>7822.9623119463167</v>
      </c>
      <c r="J805" s="58"/>
      <c r="K805" s="58"/>
      <c r="L805" s="59"/>
      <c r="M805" s="60">
        <v>4.0000000000000002E-4</v>
      </c>
      <c r="N805" s="61">
        <f t="shared" si="960"/>
        <v>312.91849247785268</v>
      </c>
      <c r="O805" s="58">
        <f t="shared" si="961"/>
        <v>8135.8808044241696</v>
      </c>
      <c r="P805" s="61">
        <f t="shared" si="945"/>
        <v>16271.761608848339</v>
      </c>
      <c r="Q805" s="61">
        <f t="shared" si="946"/>
        <v>12203.821206636254</v>
      </c>
      <c r="R805" s="61">
        <f t="shared" si="947"/>
        <v>4067.9404022120848</v>
      </c>
      <c r="S805" s="61">
        <f t="shared" si="948"/>
        <v>542.39205362827795</v>
      </c>
      <c r="T805" s="58">
        <f t="shared" si="949"/>
        <v>622.61183835990016</v>
      </c>
      <c r="U805" s="61">
        <f t="shared" si="950"/>
        <v>6101.910603318127</v>
      </c>
      <c r="V805" s="58">
        <f t="shared" si="951"/>
        <v>2033.9702011060424</v>
      </c>
      <c r="W805" s="62">
        <v>0</v>
      </c>
      <c r="X805" s="63">
        <f t="shared" si="962"/>
        <v>0</v>
      </c>
      <c r="Y805" s="61">
        <v>1077.5681930618007</v>
      </c>
      <c r="Z805" s="61">
        <v>0</v>
      </c>
      <c r="AA805" s="61">
        <f t="shared" si="963"/>
        <v>2033.9702011060424</v>
      </c>
      <c r="AB805" s="61">
        <f t="shared" si="964"/>
        <v>406.79404022120849</v>
      </c>
      <c r="AC805" s="61">
        <v>2542.6980454117233</v>
      </c>
      <c r="AD805" s="61">
        <v>1631.8967589332165</v>
      </c>
      <c r="AE805" s="61">
        <v>965.04834945784535</v>
      </c>
      <c r="AF805" s="61">
        <v>0</v>
      </c>
      <c r="AG805" s="61">
        <f t="shared" si="965"/>
        <v>561.3757755052676</v>
      </c>
      <c r="AH805" s="64"/>
      <c r="AI805" s="64"/>
      <c r="AJ805" s="369">
        <v>137</v>
      </c>
      <c r="AK805" s="372" t="s">
        <v>42</v>
      </c>
      <c r="AL805" s="365"/>
      <c r="AM805" s="391" t="s">
        <v>55</v>
      </c>
      <c r="AN805" s="371" t="s">
        <v>951</v>
      </c>
      <c r="AO805" s="368">
        <f t="shared" si="967"/>
        <v>54917.195429863146</v>
      </c>
      <c r="AP805" s="368">
        <f t="shared" si="967"/>
        <v>18305.731809954381</v>
      </c>
      <c r="AQ805" s="368">
        <f t="shared" si="968"/>
        <v>0</v>
      </c>
      <c r="AR805" s="368">
        <f t="shared" si="968"/>
        <v>4849.0568687781033</v>
      </c>
      <c r="AS805" s="368">
        <f t="shared" si="968"/>
        <v>0</v>
      </c>
      <c r="AT805" s="368">
        <f t="shared" si="968"/>
        <v>9152.8659049771904</v>
      </c>
      <c r="AU805" s="368">
        <f t="shared" si="968"/>
        <v>1830.5731809954382</v>
      </c>
      <c r="AV805" s="368">
        <f t="shared" si="968"/>
        <v>11442.141204352754</v>
      </c>
      <c r="AW805" s="368">
        <f t="shared" si="968"/>
        <v>7343.5354151994743</v>
      </c>
      <c r="AX805" s="368">
        <f t="shared" si="968"/>
        <v>4342.7175725603038</v>
      </c>
      <c r="AY805" s="368">
        <f t="shared" si="968"/>
        <v>0</v>
      </c>
      <c r="AZ805" s="368">
        <f t="shared" si="968"/>
        <v>2526.1909897737041</v>
      </c>
      <c r="BB805" s="64"/>
      <c r="BC805" s="66"/>
      <c r="BD805" s="66"/>
      <c r="BE805" s="66"/>
    </row>
    <row r="806" spans="1:177" s="364" customFormat="1" ht="21" customHeight="1" x14ac:dyDescent="0.2">
      <c r="B806" s="369">
        <v>138</v>
      </c>
      <c r="C806" s="372" t="s">
        <v>42</v>
      </c>
      <c r="D806" s="443"/>
      <c r="E806" s="391" t="s">
        <v>55</v>
      </c>
      <c r="F806" s="371" t="s">
        <v>928</v>
      </c>
      <c r="G806" s="443"/>
      <c r="H806" s="56"/>
      <c r="I806" s="57">
        <v>7822.9623119463167</v>
      </c>
      <c r="J806" s="58"/>
      <c r="K806" s="58"/>
      <c r="L806" s="59"/>
      <c r="M806" s="60">
        <v>4.0000000000000002E-4</v>
      </c>
      <c r="N806" s="61">
        <f t="shared" si="960"/>
        <v>312.91849247785268</v>
      </c>
      <c r="O806" s="58">
        <f t="shared" si="961"/>
        <v>8135.8808044241696</v>
      </c>
      <c r="P806" s="61">
        <f t="shared" si="945"/>
        <v>16271.761608848339</v>
      </c>
      <c r="Q806" s="61">
        <f t="shared" si="946"/>
        <v>12203.821206636254</v>
      </c>
      <c r="R806" s="61">
        <f t="shared" si="947"/>
        <v>4067.9404022120848</v>
      </c>
      <c r="S806" s="61">
        <f t="shared" si="948"/>
        <v>542.39205362827795</v>
      </c>
      <c r="T806" s="58">
        <f t="shared" si="949"/>
        <v>622.61183835990016</v>
      </c>
      <c r="U806" s="61">
        <f t="shared" si="950"/>
        <v>6101.910603318127</v>
      </c>
      <c r="V806" s="58">
        <f t="shared" si="951"/>
        <v>2033.9702011060424</v>
      </c>
      <c r="W806" s="62">
        <v>0</v>
      </c>
      <c r="X806" s="63">
        <f t="shared" si="962"/>
        <v>0</v>
      </c>
      <c r="Y806" s="61">
        <v>1077.5681930618007</v>
      </c>
      <c r="Z806" s="61">
        <v>0</v>
      </c>
      <c r="AA806" s="61">
        <f t="shared" si="963"/>
        <v>2033.9702011060424</v>
      </c>
      <c r="AB806" s="61">
        <f t="shared" si="964"/>
        <v>406.79404022120849</v>
      </c>
      <c r="AC806" s="61">
        <v>2542.6980454117233</v>
      </c>
      <c r="AD806" s="61">
        <v>1631.8967589332165</v>
      </c>
      <c r="AE806" s="61">
        <v>965.04834945784535</v>
      </c>
      <c r="AF806" s="61">
        <v>0</v>
      </c>
      <c r="AG806" s="61">
        <f t="shared" si="965"/>
        <v>561.3757755052676</v>
      </c>
      <c r="AH806" s="64"/>
      <c r="AI806" s="64"/>
      <c r="AJ806" s="369">
        <v>138</v>
      </c>
      <c r="AK806" s="372" t="s">
        <v>42</v>
      </c>
      <c r="AL806" s="443"/>
      <c r="AM806" s="391" t="s">
        <v>55</v>
      </c>
      <c r="AN806" s="371" t="s">
        <v>928</v>
      </c>
      <c r="AO806" s="368">
        <f>Q806*9.5</f>
        <v>115936.30146304441</v>
      </c>
      <c r="AP806" s="368">
        <f>R806*9.5</f>
        <v>38645.433821014805</v>
      </c>
      <c r="AQ806" s="368">
        <f t="shared" ref="AQ806:AZ806" si="969">X806*9.5</f>
        <v>0</v>
      </c>
      <c r="AR806" s="368">
        <f t="shared" si="969"/>
        <v>10236.897834087107</v>
      </c>
      <c r="AS806" s="368">
        <f t="shared" si="969"/>
        <v>0</v>
      </c>
      <c r="AT806" s="368">
        <f t="shared" si="969"/>
        <v>19322.716910507403</v>
      </c>
      <c r="AU806" s="368">
        <f t="shared" si="969"/>
        <v>3864.5433821014808</v>
      </c>
      <c r="AV806" s="368">
        <f t="shared" si="969"/>
        <v>24155.631431411373</v>
      </c>
      <c r="AW806" s="368">
        <f t="shared" si="969"/>
        <v>15503.019209865557</v>
      </c>
      <c r="AX806" s="368">
        <f t="shared" si="969"/>
        <v>9167.9593198495313</v>
      </c>
      <c r="AY806" s="368">
        <f t="shared" si="969"/>
        <v>0</v>
      </c>
      <c r="AZ806" s="368">
        <f t="shared" si="969"/>
        <v>5333.0698673000425</v>
      </c>
      <c r="BB806" s="64"/>
      <c r="BC806" s="66"/>
      <c r="BD806" s="66"/>
      <c r="BE806" s="66"/>
    </row>
    <row r="807" spans="1:177" ht="21" customHeight="1" x14ac:dyDescent="0.2">
      <c r="B807" s="51">
        <v>139</v>
      </c>
      <c r="C807" s="73" t="s">
        <v>42</v>
      </c>
      <c r="D807" s="67">
        <v>16630</v>
      </c>
      <c r="E807" s="72" t="s">
        <v>994</v>
      </c>
      <c r="F807" s="72" t="s">
        <v>995</v>
      </c>
      <c r="G807" s="169">
        <v>45112</v>
      </c>
      <c r="H807" s="55" t="str">
        <f t="shared" ref="H807:H810" si="970" xml:space="preserve"> CONCATENATE(DATEDIF(G807,H$5,"Y")," AÑOS")</f>
        <v>1 AÑOS</v>
      </c>
      <c r="I807" s="57">
        <v>4913.376968141848</v>
      </c>
      <c r="J807" s="57"/>
      <c r="K807" s="57"/>
      <c r="L807" s="74"/>
      <c r="M807" s="171">
        <v>4.0000000000000002E-4</v>
      </c>
      <c r="N807" s="81">
        <f t="shared" si="960"/>
        <v>196.53507872567391</v>
      </c>
      <c r="O807" s="57">
        <f t="shared" si="961"/>
        <v>5109.9120468675219</v>
      </c>
      <c r="P807" s="81">
        <f t="shared" si="945"/>
        <v>10219.824093735044</v>
      </c>
      <c r="Q807" s="81">
        <f t="shared" si="946"/>
        <v>7664.8680703012833</v>
      </c>
      <c r="R807" s="81">
        <f t="shared" si="947"/>
        <v>2554.9560234337609</v>
      </c>
      <c r="S807" s="81">
        <f t="shared" si="948"/>
        <v>340.66080312450146</v>
      </c>
      <c r="T807" s="57">
        <f t="shared" si="949"/>
        <v>391.04453590661518</v>
      </c>
      <c r="U807" s="81">
        <f t="shared" si="950"/>
        <v>3832.4340351506416</v>
      </c>
      <c r="V807" s="57">
        <f t="shared" si="951"/>
        <v>1277.4780117168805</v>
      </c>
      <c r="W807" s="101">
        <v>0</v>
      </c>
      <c r="X807" s="158">
        <f t="shared" si="962"/>
        <v>0</v>
      </c>
      <c r="Y807" s="81">
        <v>520.97691004877959</v>
      </c>
      <c r="Z807" s="81">
        <v>0</v>
      </c>
      <c r="AA807" s="81">
        <f t="shared" si="963"/>
        <v>1277.4780117168805</v>
      </c>
      <c r="AB807" s="81">
        <f t="shared" si="964"/>
        <v>255.49560234337608</v>
      </c>
      <c r="AC807" s="81">
        <v>1800.9612759438785</v>
      </c>
      <c r="AD807" s="81">
        <v>970.3965680790609</v>
      </c>
      <c r="AE807" s="81">
        <v>606.1190306552536</v>
      </c>
      <c r="AF807" s="81">
        <v>0</v>
      </c>
      <c r="AG807" s="81">
        <f t="shared" si="965"/>
        <v>352.58393123385906</v>
      </c>
      <c r="AH807" s="64"/>
      <c r="AI807" s="64"/>
      <c r="AJ807" s="51">
        <v>139</v>
      </c>
      <c r="AK807" s="73" t="s">
        <v>42</v>
      </c>
      <c r="AL807" s="67">
        <v>16630</v>
      </c>
      <c r="AM807" s="72" t="s">
        <v>994</v>
      </c>
      <c r="AN807" s="72" t="s">
        <v>995</v>
      </c>
      <c r="AO807" s="159">
        <f>Q807*11.5</f>
        <v>88145.98280846476</v>
      </c>
      <c r="AP807" s="159">
        <f>R807*11.5</f>
        <v>29381.994269488252</v>
      </c>
      <c r="AQ807" s="159">
        <f t="shared" ref="AQ807:AZ807" si="971">X807*11.5</f>
        <v>0</v>
      </c>
      <c r="AR807" s="159">
        <f t="shared" si="971"/>
        <v>5991.234465560965</v>
      </c>
      <c r="AS807" s="159">
        <f t="shared" si="971"/>
        <v>0</v>
      </c>
      <c r="AT807" s="159">
        <f t="shared" si="971"/>
        <v>14690.997134744126</v>
      </c>
      <c r="AU807" s="159">
        <f t="shared" si="971"/>
        <v>2938.199426948825</v>
      </c>
      <c r="AV807" s="159">
        <f t="shared" si="971"/>
        <v>20711.054673354603</v>
      </c>
      <c r="AW807" s="159">
        <f t="shared" si="971"/>
        <v>11159.5605329092</v>
      </c>
      <c r="AX807" s="159">
        <f t="shared" si="971"/>
        <v>6970.3688525354164</v>
      </c>
      <c r="AY807" s="159">
        <f t="shared" si="971"/>
        <v>0</v>
      </c>
      <c r="AZ807" s="159">
        <f t="shared" si="971"/>
        <v>4054.715209189379</v>
      </c>
      <c r="BB807" s="64"/>
      <c r="BC807" s="66"/>
      <c r="BD807" s="66"/>
      <c r="BE807" s="66"/>
    </row>
    <row r="808" spans="1:177" ht="21" customHeight="1" x14ac:dyDescent="0.2">
      <c r="B808" s="51">
        <v>140</v>
      </c>
      <c r="C808" s="73" t="s">
        <v>42</v>
      </c>
      <c r="D808" s="282">
        <v>16631</v>
      </c>
      <c r="E808" s="72" t="s">
        <v>996</v>
      </c>
      <c r="F808" s="72" t="s">
        <v>997</v>
      </c>
      <c r="G808" s="169">
        <v>45154</v>
      </c>
      <c r="H808" s="55" t="str">
        <f t="shared" si="970"/>
        <v>1 AÑOS</v>
      </c>
      <c r="I808" s="57">
        <v>4913.376968141848</v>
      </c>
      <c r="J808" s="57"/>
      <c r="K808" s="57"/>
      <c r="L808" s="74"/>
      <c r="M808" s="171">
        <v>4.0000000000000002E-4</v>
      </c>
      <c r="N808" s="81">
        <f>I808*0.04</f>
        <v>196.53507872567391</v>
      </c>
      <c r="O808" s="57">
        <f t="shared" si="961"/>
        <v>5109.9120468675219</v>
      </c>
      <c r="P808" s="81">
        <f t="shared" si="945"/>
        <v>10219.824093735044</v>
      </c>
      <c r="Q808" s="81">
        <f t="shared" si="946"/>
        <v>7664.8680703012833</v>
      </c>
      <c r="R808" s="81">
        <f t="shared" si="947"/>
        <v>2554.9560234337609</v>
      </c>
      <c r="S808" s="81">
        <f t="shared" si="948"/>
        <v>340.66080312450146</v>
      </c>
      <c r="T808" s="57">
        <f t="shared" si="949"/>
        <v>391.04453590661518</v>
      </c>
      <c r="U808" s="81">
        <f t="shared" si="950"/>
        <v>3832.4340351506416</v>
      </c>
      <c r="V808" s="57">
        <f t="shared" si="951"/>
        <v>1277.4780117168805</v>
      </c>
      <c r="W808" s="101">
        <v>0</v>
      </c>
      <c r="X808" s="158">
        <f t="shared" si="962"/>
        <v>0</v>
      </c>
      <c r="Y808" s="81">
        <v>520.97691004877959</v>
      </c>
      <c r="Z808" s="81">
        <v>0</v>
      </c>
      <c r="AA808" s="81">
        <f t="shared" si="963"/>
        <v>1277.4780117168805</v>
      </c>
      <c r="AB808" s="81">
        <f t="shared" si="964"/>
        <v>255.49560234337608</v>
      </c>
      <c r="AC808" s="81">
        <v>1800.9612759438785</v>
      </c>
      <c r="AD808" s="81">
        <v>970.3965680790609</v>
      </c>
      <c r="AE808" s="81">
        <v>606.1190306552536</v>
      </c>
      <c r="AF808" s="81">
        <v>0</v>
      </c>
      <c r="AG808" s="81">
        <f t="shared" si="965"/>
        <v>352.58393123385906</v>
      </c>
      <c r="AH808" s="64"/>
      <c r="AI808" s="64"/>
      <c r="AJ808" s="51">
        <v>140</v>
      </c>
      <c r="AK808" s="73" t="s">
        <v>42</v>
      </c>
      <c r="AL808" s="282">
        <v>16631</v>
      </c>
      <c r="AM808" s="72" t="s">
        <v>996</v>
      </c>
      <c r="AN808" s="72" t="s">
        <v>997</v>
      </c>
      <c r="AO808" s="65">
        <f>Q808*12</f>
        <v>91978.4168436154</v>
      </c>
      <c r="AP808" s="65">
        <f>R808*12</f>
        <v>30659.472281205133</v>
      </c>
      <c r="AQ808" s="65">
        <f t="shared" ref="AQ808:AZ809" si="972">X808*12</f>
        <v>0</v>
      </c>
      <c r="AR808" s="65">
        <f t="shared" si="972"/>
        <v>6251.7229205853546</v>
      </c>
      <c r="AS808" s="65">
        <f t="shared" si="972"/>
        <v>0</v>
      </c>
      <c r="AT808" s="65">
        <f t="shared" si="972"/>
        <v>15329.736140602567</v>
      </c>
      <c r="AU808" s="65">
        <f t="shared" si="972"/>
        <v>3065.947228120513</v>
      </c>
      <c r="AV808" s="65">
        <f t="shared" si="972"/>
        <v>21611.535311326541</v>
      </c>
      <c r="AW808" s="65">
        <f t="shared" si="972"/>
        <v>11644.758816948732</v>
      </c>
      <c r="AX808" s="65">
        <f t="shared" si="972"/>
        <v>7273.4283678630436</v>
      </c>
      <c r="AY808" s="65">
        <f t="shared" si="972"/>
        <v>0</v>
      </c>
      <c r="AZ808" s="65">
        <f t="shared" si="972"/>
        <v>4231.0071748063092</v>
      </c>
      <c r="BB808" s="64"/>
      <c r="BC808" s="177"/>
      <c r="BD808" s="66"/>
      <c r="BE808" s="66"/>
    </row>
    <row r="809" spans="1:177" ht="21" customHeight="1" x14ac:dyDescent="0.2">
      <c r="B809" s="51">
        <v>141</v>
      </c>
      <c r="C809" s="73" t="s">
        <v>42</v>
      </c>
      <c r="D809" s="282">
        <v>16619</v>
      </c>
      <c r="E809" s="73" t="s">
        <v>998</v>
      </c>
      <c r="F809" s="72" t="s">
        <v>997</v>
      </c>
      <c r="G809" s="169">
        <v>44866</v>
      </c>
      <c r="H809" s="55" t="str">
        <f t="shared" si="970"/>
        <v>2 AÑOS</v>
      </c>
      <c r="I809" s="57">
        <v>4913.376968141848</v>
      </c>
      <c r="J809" s="57"/>
      <c r="K809" s="57"/>
      <c r="L809" s="74"/>
      <c r="M809" s="171">
        <v>4.0000000000000002E-4</v>
      </c>
      <c r="N809" s="81">
        <f t="shared" si="960"/>
        <v>196.53507872567391</v>
      </c>
      <c r="O809" s="57">
        <f t="shared" si="961"/>
        <v>5109.9120468675219</v>
      </c>
      <c r="P809" s="81">
        <f t="shared" si="945"/>
        <v>10219.824093735044</v>
      </c>
      <c r="Q809" s="81">
        <f t="shared" si="946"/>
        <v>7664.8680703012833</v>
      </c>
      <c r="R809" s="81">
        <f t="shared" si="947"/>
        <v>2554.9560234337609</v>
      </c>
      <c r="S809" s="81">
        <f t="shared" si="948"/>
        <v>340.66080312450146</v>
      </c>
      <c r="T809" s="57">
        <f t="shared" si="949"/>
        <v>391.04453590661518</v>
      </c>
      <c r="U809" s="81">
        <f t="shared" si="950"/>
        <v>3832.4340351506416</v>
      </c>
      <c r="V809" s="57">
        <f t="shared" si="951"/>
        <v>1277.4780117168805</v>
      </c>
      <c r="W809" s="101">
        <v>0</v>
      </c>
      <c r="X809" s="158">
        <f t="shared" si="962"/>
        <v>0</v>
      </c>
      <c r="Y809" s="81">
        <v>520.97691004877959</v>
      </c>
      <c r="Z809" s="81">
        <v>0</v>
      </c>
      <c r="AA809" s="81">
        <f t="shared" si="963"/>
        <v>1277.4780117168805</v>
      </c>
      <c r="AB809" s="81">
        <f t="shared" si="964"/>
        <v>255.49560234337608</v>
      </c>
      <c r="AC809" s="81">
        <v>1800.9612759438785</v>
      </c>
      <c r="AD809" s="81">
        <v>970.3965680790609</v>
      </c>
      <c r="AE809" s="81">
        <v>606.1190306552536</v>
      </c>
      <c r="AF809" s="81">
        <v>0</v>
      </c>
      <c r="AG809" s="81">
        <f t="shared" si="965"/>
        <v>352.58393123385906</v>
      </c>
      <c r="AH809" s="64"/>
      <c r="AI809" s="64"/>
      <c r="AJ809" s="51">
        <v>141</v>
      </c>
      <c r="AK809" s="73" t="s">
        <v>42</v>
      </c>
      <c r="AL809" s="282">
        <v>16619</v>
      </c>
      <c r="AM809" s="73" t="s">
        <v>998</v>
      </c>
      <c r="AN809" s="72" t="s">
        <v>997</v>
      </c>
      <c r="AO809" s="159">
        <f>Q809*12</f>
        <v>91978.4168436154</v>
      </c>
      <c r="AP809" s="159">
        <f>R809*12</f>
        <v>30659.472281205133</v>
      </c>
      <c r="AQ809" s="159">
        <f t="shared" si="972"/>
        <v>0</v>
      </c>
      <c r="AR809" s="159">
        <f t="shared" si="972"/>
        <v>6251.7229205853546</v>
      </c>
      <c r="AS809" s="159">
        <f t="shared" si="972"/>
        <v>0</v>
      </c>
      <c r="AT809" s="159">
        <f t="shared" si="972"/>
        <v>15329.736140602567</v>
      </c>
      <c r="AU809" s="159">
        <f t="shared" si="972"/>
        <v>3065.947228120513</v>
      </c>
      <c r="AV809" s="159">
        <f t="shared" si="972"/>
        <v>21611.535311326541</v>
      </c>
      <c r="AW809" s="159">
        <f t="shared" si="972"/>
        <v>11644.758816948732</v>
      </c>
      <c r="AX809" s="159">
        <f t="shared" si="972"/>
        <v>7273.4283678630436</v>
      </c>
      <c r="AY809" s="159">
        <f t="shared" si="972"/>
        <v>0</v>
      </c>
      <c r="AZ809" s="159">
        <f t="shared" si="972"/>
        <v>4231.0071748063092</v>
      </c>
      <c r="BB809" s="64"/>
      <c r="BD809" s="66"/>
      <c r="BE809" s="66"/>
      <c r="BI809" s="211"/>
    </row>
    <row r="810" spans="1:177" s="96" customFormat="1" ht="21" customHeight="1" x14ac:dyDescent="0.2">
      <c r="A810" s="50"/>
      <c r="B810" s="455" t="s">
        <v>99</v>
      </c>
      <c r="C810" s="456"/>
      <c r="D810" s="456"/>
      <c r="E810" s="143">
        <v>141</v>
      </c>
      <c r="F810" s="86" t="s">
        <v>65</v>
      </c>
      <c r="G810" s="89"/>
      <c r="H810" s="244" t="str">
        <f t="shared" si="970"/>
        <v>124 AÑOS</v>
      </c>
      <c r="I810" s="91">
        <f t="shared" ref="I810:AG810" si="973">SUM(I669:I809)</f>
        <v>1201131.1875669688</v>
      </c>
      <c r="J810" s="91">
        <f t="shared" si="973"/>
        <v>0</v>
      </c>
      <c r="K810" s="91">
        <f t="shared" si="973"/>
        <v>0</v>
      </c>
      <c r="L810" s="91">
        <f t="shared" si="973"/>
        <v>0</v>
      </c>
      <c r="M810" s="91">
        <f t="shared" si="973"/>
        <v>5.6399999999999881E-2</v>
      </c>
      <c r="N810" s="91">
        <f t="shared" si="973"/>
        <v>48045.247502678765</v>
      </c>
      <c r="O810" s="91">
        <f t="shared" si="973"/>
        <v>1249176.4350696479</v>
      </c>
      <c r="P810" s="91">
        <f t="shared" si="973"/>
        <v>2498352.8701392957</v>
      </c>
      <c r="Q810" s="91">
        <f t="shared" si="973"/>
        <v>1873764.6526044714</v>
      </c>
      <c r="R810" s="91">
        <f t="shared" si="973"/>
        <v>624588.21753482393</v>
      </c>
      <c r="S810" s="91">
        <f t="shared" si="973"/>
        <v>83278.429004643083</v>
      </c>
      <c r="T810" s="91">
        <f t="shared" si="973"/>
        <v>95595.308654429726</v>
      </c>
      <c r="U810" s="91">
        <f t="shared" si="973"/>
        <v>936882.32630223571</v>
      </c>
      <c r="V810" s="91">
        <f t="shared" si="973"/>
        <v>312294.10876741196</v>
      </c>
      <c r="W810" s="91">
        <f t="shared" si="973"/>
        <v>0</v>
      </c>
      <c r="X810" s="91">
        <f t="shared" si="973"/>
        <v>0</v>
      </c>
      <c r="Y810" s="91">
        <f t="shared" si="973"/>
        <v>181654.78050804336</v>
      </c>
      <c r="Z810" s="91">
        <f t="shared" si="973"/>
        <v>0</v>
      </c>
      <c r="AA810" s="91">
        <f t="shared" si="973"/>
        <v>312294.10876741196</v>
      </c>
      <c r="AB810" s="91">
        <f t="shared" si="973"/>
        <v>62458.821753482582</v>
      </c>
      <c r="AC810" s="91">
        <f t="shared" si="973"/>
        <v>383527.27189922734</v>
      </c>
      <c r="AD810" s="91">
        <f t="shared" si="973"/>
        <v>250396.43161041554</v>
      </c>
      <c r="AE810" s="91">
        <f t="shared" si="973"/>
        <v>148172.72841436672</v>
      </c>
      <c r="AF810" s="91">
        <f t="shared" si="973"/>
        <v>0</v>
      </c>
      <c r="AG810" s="91">
        <f t="shared" si="973"/>
        <v>86193.174019805418</v>
      </c>
      <c r="AH810" s="92"/>
      <c r="AI810" s="92"/>
      <c r="AJ810" s="455" t="s">
        <v>99</v>
      </c>
      <c r="AK810" s="456"/>
      <c r="AL810" s="456"/>
      <c r="AM810" s="143">
        <v>141</v>
      </c>
      <c r="AN810" s="86" t="s">
        <v>65</v>
      </c>
      <c r="AO810" s="93">
        <f>SUM(AO669:AO809)+841656.89+49368.01</f>
        <v>20508013.77691339</v>
      </c>
      <c r="AP810" s="93">
        <f>SUM(AP669:AP809)+280552.3+16456</f>
        <v>6836004.5923044691</v>
      </c>
      <c r="AQ810" s="93">
        <f>SUM(AQ669:AQ809)</f>
        <v>0</v>
      </c>
      <c r="AR810" s="93">
        <f>SUM(AR669:AR809)+63880.25+3650.23</f>
        <v>1971549.1759046938</v>
      </c>
      <c r="AS810" s="93">
        <f>SUM(AS669:AS809)</f>
        <v>0</v>
      </c>
      <c r="AT810" s="93">
        <f>SUM(AT669:AT809)+140276.15+8228</f>
        <v>3418002.2961522345</v>
      </c>
      <c r="AU810" s="93">
        <f>SUM(AU669:AU809)+28055.23+1645.6</f>
        <v>683600.45923044579</v>
      </c>
      <c r="AV810" s="93">
        <f>SUM(AV669:AV809)+186896.1+11083.72</f>
        <v>4212597.0294405632</v>
      </c>
      <c r="AW810" s="93">
        <f>SUM(AW669:AW809)+112546.48+6601.5</f>
        <v>2740398.0551169566</v>
      </c>
      <c r="AX810" s="93">
        <f>SUM(AX669:AX809)+66556.17+3903.9</f>
        <v>1621723.5977468351</v>
      </c>
      <c r="AY810" s="93">
        <f>SUM(AY669:AY809)</f>
        <v>0</v>
      </c>
      <c r="AZ810" s="93">
        <f>SUM(AZ669:AZ809)+38716.22+2270.93</f>
        <v>943368.63833801635</v>
      </c>
      <c r="BA810" s="94"/>
      <c r="BB810" s="92">
        <f>AO810+AP810+AQ810-AR810+AS810+AT810+AU810+AV810+AW810+AX810+AY810+AZ810</f>
        <v>38992159.269338213</v>
      </c>
      <c r="BC810" s="66"/>
      <c r="BD810" s="66"/>
      <c r="BE810" s="66"/>
      <c r="BF810" s="211"/>
      <c r="BG810" s="211"/>
      <c r="BH810" s="211"/>
      <c r="BI810" s="211"/>
      <c r="BJ810" s="211"/>
      <c r="BK810" s="50"/>
      <c r="BL810" s="50"/>
      <c r="BM810" s="50"/>
      <c r="BN810" s="50"/>
      <c r="BO810" s="50"/>
      <c r="BP810" s="50"/>
      <c r="BQ810" s="50"/>
      <c r="BR810" s="50"/>
      <c r="BS810" s="50"/>
      <c r="BT810" s="50"/>
      <c r="BU810" s="50"/>
      <c r="BV810" s="50"/>
      <c r="BW810" s="50"/>
      <c r="BX810" s="50"/>
      <c r="BY810" s="50"/>
      <c r="BZ810" s="50"/>
      <c r="CA810" s="50"/>
      <c r="CB810" s="50"/>
      <c r="CC810" s="50"/>
      <c r="CD810" s="50"/>
      <c r="CE810" s="50"/>
      <c r="CF810" s="50"/>
      <c r="CG810" s="50"/>
      <c r="CH810" s="50"/>
      <c r="CI810" s="50"/>
      <c r="CJ810" s="50"/>
      <c r="CK810" s="50"/>
      <c r="CL810" s="50"/>
      <c r="CM810" s="50"/>
      <c r="CN810" s="50"/>
      <c r="CO810" s="50"/>
      <c r="CP810" s="50"/>
      <c r="CQ810" s="50"/>
      <c r="CR810" s="50"/>
      <c r="CS810" s="50"/>
      <c r="CT810" s="50"/>
      <c r="CU810" s="50"/>
      <c r="CV810" s="50"/>
      <c r="CW810" s="50"/>
      <c r="CX810" s="50"/>
      <c r="CY810" s="50"/>
      <c r="CZ810" s="50"/>
      <c r="DA810" s="50"/>
      <c r="DB810" s="50"/>
      <c r="DC810" s="50"/>
      <c r="DD810" s="50"/>
      <c r="DE810" s="50"/>
      <c r="DF810" s="50"/>
      <c r="DG810" s="50"/>
      <c r="DH810" s="50"/>
      <c r="DI810" s="50"/>
      <c r="DJ810" s="50"/>
      <c r="DK810" s="50"/>
      <c r="DL810" s="50"/>
      <c r="DM810" s="50"/>
      <c r="DN810" s="50"/>
      <c r="DO810" s="50"/>
      <c r="DP810" s="50"/>
      <c r="DQ810" s="50"/>
      <c r="DR810" s="50"/>
      <c r="DS810" s="50"/>
      <c r="DT810" s="50"/>
      <c r="DU810" s="50"/>
      <c r="DV810" s="50"/>
      <c r="DW810" s="50"/>
      <c r="DX810" s="50"/>
      <c r="DY810" s="50"/>
      <c r="DZ810" s="50"/>
      <c r="EA810" s="50"/>
      <c r="EB810" s="50"/>
      <c r="EC810" s="50"/>
      <c r="ED810" s="50"/>
      <c r="EE810" s="50"/>
      <c r="EF810" s="50"/>
      <c r="EG810" s="50"/>
      <c r="EH810" s="50"/>
      <c r="EI810" s="50"/>
      <c r="EJ810" s="50"/>
      <c r="EK810" s="50"/>
      <c r="EL810" s="50"/>
      <c r="EM810" s="50"/>
      <c r="EN810" s="50"/>
      <c r="EO810" s="50"/>
      <c r="EP810" s="50"/>
      <c r="EQ810" s="50"/>
      <c r="ER810" s="50"/>
      <c r="ES810" s="50"/>
      <c r="ET810" s="50"/>
      <c r="EU810" s="50"/>
      <c r="EV810" s="50"/>
      <c r="EW810" s="50"/>
      <c r="EX810" s="50"/>
      <c r="EY810" s="50"/>
      <c r="EZ810" s="50"/>
      <c r="FA810" s="50"/>
      <c r="FB810" s="50"/>
      <c r="FC810" s="50"/>
      <c r="FD810" s="50"/>
      <c r="FE810" s="50"/>
      <c r="FF810" s="50"/>
      <c r="FG810" s="50"/>
      <c r="FH810" s="50"/>
      <c r="FI810" s="50"/>
      <c r="FJ810" s="50"/>
      <c r="FK810" s="50"/>
      <c r="FL810" s="50"/>
      <c r="FM810" s="50"/>
      <c r="FN810" s="50"/>
      <c r="FO810" s="50"/>
      <c r="FP810" s="50"/>
      <c r="FQ810" s="50"/>
      <c r="FR810" s="50"/>
      <c r="FS810" s="50"/>
      <c r="FT810" s="50"/>
      <c r="FU810" s="50"/>
    </row>
    <row r="811" spans="1:177" s="96" customFormat="1" ht="21" hidden="1" customHeight="1" x14ac:dyDescent="0.2">
      <c r="A811" s="50"/>
      <c r="B811" s="121"/>
      <c r="C811" s="116"/>
      <c r="D811" s="168"/>
      <c r="E811" s="76"/>
      <c r="F811" s="194"/>
      <c r="G811" s="90"/>
      <c r="H811" s="283"/>
      <c r="I811" s="91"/>
      <c r="J811" s="91"/>
      <c r="K811" s="91"/>
      <c r="L811" s="91"/>
      <c r="M811" s="91"/>
      <c r="N811" s="91"/>
      <c r="O811" s="91"/>
      <c r="P811" s="91"/>
      <c r="Q811" s="91"/>
      <c r="R811" s="91"/>
      <c r="S811" s="91"/>
      <c r="T811" s="91"/>
      <c r="U811" s="91"/>
      <c r="V811" s="91"/>
      <c r="W811" s="91"/>
      <c r="X811" s="91"/>
      <c r="Y811" s="91"/>
      <c r="Z811" s="91"/>
      <c r="AA811" s="91"/>
      <c r="AB811" s="91"/>
      <c r="AC811" s="91"/>
      <c r="AD811" s="91"/>
      <c r="AE811" s="91"/>
      <c r="AF811" s="91"/>
      <c r="AG811" s="91"/>
      <c r="AH811" s="92"/>
      <c r="AI811" s="92"/>
      <c r="AJ811" s="121"/>
      <c r="AK811" s="116"/>
      <c r="AL811" s="168"/>
      <c r="AM811" s="76"/>
      <c r="AN811" s="194"/>
      <c r="AO811" s="93">
        <v>81763.644566041403</v>
      </c>
      <c r="AP811" s="93">
        <v>27254.548188680466</v>
      </c>
      <c r="AQ811" s="93">
        <v>5450.9096377360929</v>
      </c>
      <c r="AR811" s="93">
        <v>6079.2379047853037</v>
      </c>
      <c r="AS811" s="93">
        <v>0</v>
      </c>
      <c r="AT811" s="93">
        <v>13627.274094340233</v>
      </c>
      <c r="AU811" s="93">
        <v>2725.4548188680465</v>
      </c>
      <c r="AV811" s="93">
        <v>18297.07825677158</v>
      </c>
      <c r="AW811" s="93">
        <v>10933.44652520256</v>
      </c>
      <c r="AX811" s="93">
        <v>6465.6691455958362</v>
      </c>
      <c r="AY811" s="93">
        <v>0</v>
      </c>
      <c r="AZ811" s="93">
        <v>3761.1276500379045</v>
      </c>
      <c r="BA811" s="94"/>
      <c r="BB811" s="92"/>
      <c r="BC811" s="66"/>
      <c r="BD811" s="66"/>
      <c r="BE811" s="66"/>
      <c r="BF811" s="211"/>
      <c r="BG811" s="211"/>
      <c r="BH811" s="211"/>
      <c r="BI811" s="211"/>
      <c r="BJ811" s="211"/>
      <c r="BK811" s="50"/>
      <c r="BL811" s="50"/>
      <c r="BM811" s="50"/>
      <c r="BN811" s="50"/>
      <c r="BO811" s="50"/>
      <c r="BP811" s="50"/>
      <c r="BQ811" s="50"/>
      <c r="BR811" s="50"/>
      <c r="BS811" s="50"/>
      <c r="BT811" s="50"/>
      <c r="BU811" s="50"/>
      <c r="BV811" s="50"/>
      <c r="BW811" s="50"/>
      <c r="BX811" s="50"/>
      <c r="BY811" s="50"/>
      <c r="BZ811" s="50"/>
      <c r="CA811" s="50"/>
      <c r="CB811" s="50"/>
      <c r="CC811" s="50"/>
      <c r="CD811" s="50"/>
      <c r="CE811" s="50"/>
      <c r="CF811" s="50"/>
      <c r="CG811" s="50"/>
      <c r="CH811" s="50"/>
      <c r="CI811" s="50"/>
      <c r="CJ811" s="50"/>
      <c r="CK811" s="50"/>
      <c r="CL811" s="50"/>
      <c r="CM811" s="50"/>
      <c r="CN811" s="50"/>
      <c r="CO811" s="50"/>
      <c r="CP811" s="50"/>
      <c r="CQ811" s="50"/>
      <c r="CR811" s="50"/>
      <c r="CS811" s="50"/>
      <c r="CT811" s="50"/>
      <c r="CU811" s="50"/>
      <c r="CV811" s="50"/>
      <c r="CW811" s="50"/>
      <c r="CX811" s="50"/>
      <c r="CY811" s="50"/>
      <c r="CZ811" s="50"/>
      <c r="DA811" s="50"/>
      <c r="DB811" s="50"/>
      <c r="DC811" s="50"/>
      <c r="DD811" s="50"/>
      <c r="DE811" s="50"/>
      <c r="DF811" s="50"/>
      <c r="DG811" s="50"/>
      <c r="DH811" s="50"/>
      <c r="DI811" s="50"/>
      <c r="DJ811" s="50"/>
      <c r="DK811" s="50"/>
      <c r="DL811" s="50"/>
      <c r="DM811" s="50"/>
      <c r="DN811" s="50"/>
      <c r="DO811" s="50"/>
      <c r="DP811" s="50"/>
      <c r="DQ811" s="50"/>
      <c r="DR811" s="50"/>
      <c r="DS811" s="50"/>
      <c r="DT811" s="50"/>
      <c r="DU811" s="50"/>
      <c r="DV811" s="50"/>
      <c r="DW811" s="50"/>
      <c r="DX811" s="50"/>
      <c r="DY811" s="50"/>
      <c r="DZ811" s="50"/>
      <c r="EA811" s="50"/>
      <c r="EB811" s="50"/>
      <c r="EC811" s="50"/>
      <c r="ED811" s="50"/>
      <c r="EE811" s="50"/>
      <c r="EF811" s="50"/>
      <c r="EG811" s="50"/>
      <c r="EH811" s="50"/>
      <c r="EI811" s="50"/>
      <c r="EJ811" s="50"/>
      <c r="EK811" s="50"/>
      <c r="EL811" s="50"/>
      <c r="EM811" s="50"/>
      <c r="EN811" s="50"/>
      <c r="EO811" s="50"/>
      <c r="EP811" s="50"/>
      <c r="EQ811" s="50"/>
      <c r="ER811" s="50"/>
      <c r="ES811" s="50"/>
      <c r="ET811" s="50"/>
      <c r="EU811" s="50"/>
      <c r="EV811" s="50"/>
      <c r="EW811" s="50"/>
      <c r="EX811" s="50"/>
      <c r="EY811" s="50"/>
      <c r="EZ811" s="50"/>
      <c r="FA811" s="50"/>
      <c r="FB811" s="50"/>
      <c r="FC811" s="50"/>
      <c r="FD811" s="50"/>
      <c r="FE811" s="50"/>
      <c r="FF811" s="50"/>
      <c r="FG811" s="50"/>
      <c r="FH811" s="50"/>
      <c r="FI811" s="50"/>
      <c r="FJ811" s="50"/>
      <c r="FK811" s="50"/>
      <c r="FL811" s="50"/>
      <c r="FM811" s="50"/>
      <c r="FN811" s="50"/>
      <c r="FO811" s="50"/>
      <c r="FP811" s="50"/>
      <c r="FQ811" s="50"/>
      <c r="FR811" s="50"/>
      <c r="FS811" s="50"/>
      <c r="FT811" s="50"/>
      <c r="FU811" s="50"/>
    </row>
    <row r="812" spans="1:177" ht="21" customHeight="1" x14ac:dyDescent="0.2">
      <c r="B812" s="457" t="s">
        <v>101</v>
      </c>
      <c r="C812" s="458"/>
      <c r="D812" s="458"/>
      <c r="E812" s="76">
        <v>106</v>
      </c>
      <c r="F812" s="122" t="s">
        <v>999</v>
      </c>
      <c r="G812" s="146"/>
      <c r="H812" s="146"/>
      <c r="I812" s="57"/>
      <c r="J812" s="57"/>
      <c r="K812" s="57"/>
      <c r="L812" s="74"/>
      <c r="M812" s="57"/>
      <c r="N812" s="57">
        <f>N810</f>
        <v>48045.247502678765</v>
      </c>
      <c r="O812" s="57">
        <f t="shared" ref="O812:AG812" si="974">O810</f>
        <v>1249176.4350696479</v>
      </c>
      <c r="P812" s="57">
        <f t="shared" si="974"/>
        <v>2498352.8701392957</v>
      </c>
      <c r="Q812" s="57">
        <f t="shared" si="974"/>
        <v>1873764.6526044714</v>
      </c>
      <c r="R812" s="57">
        <f t="shared" si="974"/>
        <v>624588.21753482393</v>
      </c>
      <c r="S812" s="57">
        <f t="shared" si="974"/>
        <v>83278.429004643083</v>
      </c>
      <c r="T812" s="57">
        <f t="shared" si="974"/>
        <v>95595.308654429726</v>
      </c>
      <c r="U812" s="57">
        <f t="shared" si="974"/>
        <v>936882.32630223571</v>
      </c>
      <c r="V812" s="57">
        <f t="shared" si="974"/>
        <v>312294.10876741196</v>
      </c>
      <c r="W812" s="57">
        <f t="shared" si="974"/>
        <v>0</v>
      </c>
      <c r="X812" s="57">
        <f t="shared" si="974"/>
        <v>0</v>
      </c>
      <c r="Y812" s="57">
        <f t="shared" si="974"/>
        <v>181654.78050804336</v>
      </c>
      <c r="Z812" s="57">
        <f t="shared" si="974"/>
        <v>0</v>
      </c>
      <c r="AA812" s="57">
        <f t="shared" si="974"/>
        <v>312294.10876741196</v>
      </c>
      <c r="AB812" s="57">
        <f t="shared" si="974"/>
        <v>62458.821753482582</v>
      </c>
      <c r="AC812" s="57">
        <f t="shared" si="974"/>
        <v>383527.27189922734</v>
      </c>
      <c r="AD812" s="57">
        <f t="shared" si="974"/>
        <v>250396.43161041554</v>
      </c>
      <c r="AE812" s="57">
        <f t="shared" si="974"/>
        <v>148172.72841436672</v>
      </c>
      <c r="AF812" s="57">
        <f t="shared" si="974"/>
        <v>0</v>
      </c>
      <c r="AG812" s="57">
        <f t="shared" si="974"/>
        <v>86193.174019805418</v>
      </c>
      <c r="AH812" s="92">
        <f>Q812+R812-Y812+Z812+X812+AA812+AB812+AC812+AD812+AE812+AF812+AG812</f>
        <v>3559740.6260959622</v>
      </c>
      <c r="AI812" s="92">
        <f>AH812*12</f>
        <v>42716887.513151549</v>
      </c>
      <c r="AJ812" s="457" t="s">
        <v>101</v>
      </c>
      <c r="AK812" s="458"/>
      <c r="AL812" s="458"/>
      <c r="AM812" s="76">
        <v>106</v>
      </c>
      <c r="AN812" s="122" t="s">
        <v>999</v>
      </c>
      <c r="AO812" s="124">
        <f>AO810+AO811</f>
        <v>20589777.42147943</v>
      </c>
      <c r="AP812" s="124">
        <f t="shared" ref="AP812:AZ812" si="975">AP810+AP811</f>
        <v>6863259.1404931499</v>
      </c>
      <c r="AQ812" s="124">
        <f t="shared" si="975"/>
        <v>5450.9096377360929</v>
      </c>
      <c r="AR812" s="124">
        <f t="shared" si="975"/>
        <v>1977628.413809479</v>
      </c>
      <c r="AS812" s="124">
        <f t="shared" si="975"/>
        <v>0</v>
      </c>
      <c r="AT812" s="124">
        <f t="shared" si="975"/>
        <v>3431629.5702465749</v>
      </c>
      <c r="AU812" s="124">
        <f t="shared" si="975"/>
        <v>686325.91404931387</v>
      </c>
      <c r="AV812" s="124">
        <f t="shared" si="975"/>
        <v>4230894.1076973351</v>
      </c>
      <c r="AW812" s="124">
        <f t="shared" si="975"/>
        <v>2751331.5016421592</v>
      </c>
      <c r="AX812" s="124">
        <f t="shared" si="975"/>
        <v>1628189.2668924308</v>
      </c>
      <c r="AY812" s="124">
        <f t="shared" si="975"/>
        <v>0</v>
      </c>
      <c r="AZ812" s="124">
        <f t="shared" si="975"/>
        <v>947129.76598805422</v>
      </c>
      <c r="BA812" s="152"/>
      <c r="BB812" s="92">
        <f>AO812+AP812+AQ812-AR812+AS812+AT812+AU812+AV812+AW812+AX812+AY812+AZ812</f>
        <v>39156359.184316702</v>
      </c>
      <c r="BC812" s="95"/>
      <c r="BD812" s="95"/>
      <c r="BE812" s="95"/>
    </row>
    <row r="813" spans="1:177" ht="21" customHeight="1" x14ac:dyDescent="0.2">
      <c r="B813" s="457" t="s">
        <v>103</v>
      </c>
      <c r="C813" s="458"/>
      <c r="D813" s="458"/>
      <c r="E813" s="76">
        <f>E810-E812</f>
        <v>35</v>
      </c>
      <c r="F813" s="73"/>
      <c r="G813" s="487"/>
      <c r="H813" s="471"/>
      <c r="I813" s="471"/>
      <c r="J813" s="471"/>
      <c r="K813" s="471"/>
      <c r="L813" s="471"/>
      <c r="M813" s="471"/>
      <c r="N813" s="471"/>
      <c r="O813" s="471"/>
      <c r="P813" s="471"/>
      <c r="Q813" s="471"/>
      <c r="R813" s="471"/>
      <c r="S813" s="471"/>
      <c r="T813" s="471"/>
      <c r="U813" s="471"/>
      <c r="V813" s="471"/>
      <c r="W813" s="471"/>
      <c r="X813" s="471"/>
      <c r="Y813" s="471"/>
      <c r="Z813" s="471"/>
      <c r="AA813" s="471"/>
      <c r="AB813" s="471"/>
      <c r="AC813" s="471"/>
      <c r="AD813" s="471"/>
      <c r="AE813" s="471"/>
      <c r="AF813" s="471"/>
      <c r="AG813" s="472"/>
      <c r="AH813" s="273"/>
      <c r="AI813" s="64">
        <f>AH812*12</f>
        <v>42716887.513151549</v>
      </c>
      <c r="AJ813" s="457" t="s">
        <v>103</v>
      </c>
      <c r="AK813" s="458"/>
      <c r="AL813" s="458"/>
      <c r="AM813" s="76">
        <f>AM810-AM812</f>
        <v>35</v>
      </c>
      <c r="AN813" s="73"/>
      <c r="AO813" s="481"/>
      <c r="AP813" s="482"/>
      <c r="AQ813" s="482"/>
      <c r="AR813" s="482"/>
      <c r="AS813" s="482"/>
      <c r="AT813" s="482"/>
      <c r="AU813" s="482"/>
      <c r="AV813" s="482"/>
      <c r="AW813" s="482"/>
      <c r="AX813" s="482"/>
      <c r="AY813" s="482"/>
      <c r="AZ813" s="483"/>
      <c r="BA813" s="152"/>
      <c r="BB813" s="92"/>
      <c r="BC813" s="95"/>
      <c r="BD813" s="95"/>
      <c r="BE813" s="95"/>
    </row>
    <row r="814" spans="1:177" ht="21" customHeight="1" x14ac:dyDescent="0.2">
      <c r="B814" s="5"/>
      <c r="C814" s="94"/>
      <c r="D814" s="5"/>
      <c r="E814" s="94"/>
      <c r="G814" s="27"/>
      <c r="H814" s="27"/>
      <c r="I814" s="95"/>
      <c r="J814" s="95"/>
      <c r="K814" s="95"/>
      <c r="L814" s="27"/>
      <c r="M814" s="128"/>
      <c r="N814" s="66"/>
      <c r="O814" s="95"/>
      <c r="P814" s="66"/>
      <c r="Q814" s="66"/>
      <c r="R814" s="66"/>
      <c r="S814" s="66"/>
      <c r="T814" s="95"/>
      <c r="U814" s="66"/>
      <c r="V814" s="95"/>
      <c r="W814" s="177"/>
      <c r="X814" s="66"/>
      <c r="Y814" s="66"/>
      <c r="Z814" s="66"/>
      <c r="AA814" s="66"/>
      <c r="AB814" s="66"/>
      <c r="AC814" s="66"/>
      <c r="AD814" s="66"/>
      <c r="AE814" s="66"/>
      <c r="AF814" s="66"/>
      <c r="AG814" s="66"/>
      <c r="AI814" s="64"/>
      <c r="AJ814" s="5"/>
      <c r="AK814" s="94"/>
      <c r="AL814" s="5"/>
      <c r="AM814" s="94"/>
      <c r="AO814" s="153"/>
      <c r="AP814" s="153"/>
      <c r="AQ814" s="153"/>
      <c r="AR814" s="153"/>
      <c r="AS814" s="153"/>
      <c r="AT814" s="153"/>
      <c r="AU814" s="153"/>
      <c r="AV814" s="153"/>
      <c r="AW814" s="153"/>
      <c r="AX814" s="153"/>
      <c r="AY814" s="153"/>
      <c r="AZ814" s="153"/>
      <c r="BA814" s="152"/>
      <c r="BB814" s="92"/>
      <c r="BC814" s="95"/>
      <c r="BD814" s="95"/>
      <c r="BE814" s="95"/>
      <c r="BI814" s="211"/>
    </row>
    <row r="815" spans="1:177" ht="21" customHeight="1" x14ac:dyDescent="0.2">
      <c r="B815" s="5"/>
      <c r="C815" s="94"/>
      <c r="D815" s="5"/>
      <c r="E815" s="94"/>
      <c r="G815" s="27"/>
      <c r="H815" s="27"/>
      <c r="I815" s="95"/>
      <c r="J815" s="95"/>
      <c r="K815" s="95"/>
      <c r="L815" s="27"/>
      <c r="M815" s="128"/>
      <c r="N815" s="66"/>
      <c r="O815" s="95"/>
      <c r="P815" s="66"/>
      <c r="Q815" s="66"/>
      <c r="R815" s="66"/>
      <c r="S815" s="66"/>
      <c r="T815" s="95"/>
      <c r="U815" s="66"/>
      <c r="V815" s="95"/>
      <c r="W815" s="177"/>
      <c r="X815" s="66"/>
      <c r="Y815" s="66"/>
      <c r="Z815" s="66"/>
      <c r="AA815" s="66"/>
      <c r="AB815" s="66"/>
      <c r="AC815" s="66"/>
      <c r="AD815" s="66"/>
      <c r="AE815" s="66"/>
      <c r="AF815" s="66"/>
      <c r="AG815" s="66"/>
      <c r="AI815" s="64"/>
      <c r="AJ815" s="5"/>
      <c r="AK815" s="94"/>
      <c r="AL815" s="5"/>
      <c r="AM815" s="94"/>
      <c r="AO815" s="153"/>
      <c r="AP815" s="153"/>
      <c r="AQ815" s="153"/>
      <c r="AR815" s="153"/>
      <c r="AS815" s="153"/>
      <c r="AT815" s="153"/>
      <c r="AU815" s="153"/>
      <c r="AV815" s="153"/>
      <c r="AW815" s="153"/>
      <c r="AX815" s="153"/>
      <c r="AY815" s="153"/>
      <c r="AZ815" s="153"/>
      <c r="BA815" s="152"/>
      <c r="BB815" s="92"/>
      <c r="BC815" s="95"/>
      <c r="BD815" s="95"/>
      <c r="BE815" s="95"/>
    </row>
    <row r="816" spans="1:177" ht="21" customHeight="1" thickBot="1" x14ac:dyDescent="0.25">
      <c r="B816" s="5"/>
      <c r="C816" s="94"/>
      <c r="D816" s="5"/>
      <c r="E816" s="94"/>
      <c r="G816" s="27"/>
      <c r="H816" s="27"/>
      <c r="I816" s="95"/>
      <c r="J816" s="95"/>
      <c r="K816" s="95"/>
      <c r="L816" s="27"/>
      <c r="M816" s="128"/>
      <c r="N816" s="66"/>
      <c r="O816" s="95"/>
      <c r="P816" s="66"/>
      <c r="Q816" s="66"/>
      <c r="R816" s="66"/>
      <c r="S816" s="66"/>
      <c r="T816" s="95"/>
      <c r="U816" s="66"/>
      <c r="V816" s="95"/>
      <c r="W816" s="129"/>
      <c r="X816" s="130"/>
      <c r="Y816" s="66"/>
      <c r="Z816" s="66"/>
      <c r="AA816" s="66"/>
      <c r="AB816" s="66"/>
      <c r="AC816" s="66"/>
      <c r="AD816" s="66"/>
      <c r="AE816" s="66"/>
      <c r="AF816" s="66"/>
      <c r="AG816" s="66"/>
      <c r="AH816" s="64"/>
      <c r="AI816" s="64"/>
      <c r="AJ816" s="5"/>
      <c r="AK816" s="94"/>
      <c r="AL816" s="5"/>
      <c r="AM816" s="94"/>
      <c r="AO816" s="153"/>
      <c r="AP816" s="153"/>
      <c r="AQ816" s="153"/>
      <c r="AR816" s="153"/>
      <c r="AS816" s="153"/>
      <c r="AT816" s="153"/>
      <c r="AU816" s="153"/>
      <c r="AV816" s="153"/>
      <c r="AW816" s="153"/>
      <c r="AX816" s="153"/>
      <c r="AY816" s="153"/>
      <c r="AZ816" s="153"/>
      <c r="BA816" s="152"/>
      <c r="BB816" s="92"/>
      <c r="BC816" s="95"/>
      <c r="BD816" s="95"/>
      <c r="BE816" s="95"/>
    </row>
    <row r="817" spans="1:177" s="134" customFormat="1" ht="21" customHeight="1" thickBot="1" x14ac:dyDescent="0.25">
      <c r="A817" s="94"/>
      <c r="B817" s="494" t="s">
        <v>1000</v>
      </c>
      <c r="C817" s="495"/>
      <c r="D817" s="495"/>
      <c r="E817" s="496"/>
      <c r="F817" s="466" t="s">
        <v>4</v>
      </c>
      <c r="G817" s="7" t="s">
        <v>5</v>
      </c>
      <c r="H817" s="8" t="s">
        <v>6</v>
      </c>
      <c r="I817" s="9" t="s">
        <v>7</v>
      </c>
      <c r="J817" s="9"/>
      <c r="K817" s="9"/>
      <c r="L817" s="9"/>
      <c r="M817" s="10">
        <v>4.0000000000000002E-4</v>
      </c>
      <c r="N817" s="11" t="s">
        <v>8</v>
      </c>
      <c r="O817" s="12" t="s">
        <v>9</v>
      </c>
      <c r="P817" s="12" t="s">
        <v>10</v>
      </c>
      <c r="Q817" s="13" t="s">
        <v>11</v>
      </c>
      <c r="R817" s="12" t="s">
        <v>12</v>
      </c>
      <c r="S817" s="14" t="s">
        <v>11</v>
      </c>
      <c r="T817" s="15" t="s">
        <v>13</v>
      </c>
      <c r="U817" s="16" t="s">
        <v>11</v>
      </c>
      <c r="V817" s="17" t="s">
        <v>12</v>
      </c>
      <c r="W817" s="18" t="s">
        <v>14</v>
      </c>
      <c r="X817" s="19" t="s">
        <v>15</v>
      </c>
      <c r="Y817" s="15" t="s">
        <v>16</v>
      </c>
      <c r="Z817" s="13" t="s">
        <v>17</v>
      </c>
      <c r="AA817" s="20" t="s">
        <v>18</v>
      </c>
      <c r="AB817" s="17" t="s">
        <v>19</v>
      </c>
      <c r="AC817" s="13" t="s">
        <v>20</v>
      </c>
      <c r="AD817" s="13" t="s">
        <v>21</v>
      </c>
      <c r="AE817" s="13" t="s">
        <v>22</v>
      </c>
      <c r="AF817" s="17" t="s">
        <v>23</v>
      </c>
      <c r="AG817" s="12" t="s">
        <v>24</v>
      </c>
      <c r="AH817" s="132"/>
      <c r="AI817" s="132"/>
      <c r="AJ817" s="494" t="s">
        <v>1000</v>
      </c>
      <c r="AK817" s="495"/>
      <c r="AL817" s="495"/>
      <c r="AM817" s="496"/>
      <c r="AN817" s="466" t="s">
        <v>4</v>
      </c>
      <c r="AO817" s="22" t="s">
        <v>11</v>
      </c>
      <c r="AP817" s="12" t="s">
        <v>12</v>
      </c>
      <c r="AQ817" s="23" t="s">
        <v>15</v>
      </c>
      <c r="AR817" s="22" t="s">
        <v>16</v>
      </c>
      <c r="AS817" s="22" t="s">
        <v>25</v>
      </c>
      <c r="AT817" s="20" t="s">
        <v>26</v>
      </c>
      <c r="AU817" s="24" t="s">
        <v>27</v>
      </c>
      <c r="AV817" s="23" t="s">
        <v>20</v>
      </c>
      <c r="AW817" s="22" t="s">
        <v>28</v>
      </c>
      <c r="AX817" s="22" t="s">
        <v>29</v>
      </c>
      <c r="AY817" s="25" t="s">
        <v>23</v>
      </c>
      <c r="AZ817" s="24" t="s">
        <v>24</v>
      </c>
      <c r="BA817" s="94"/>
      <c r="BB817" s="92"/>
      <c r="BC817" s="95"/>
      <c r="BD817" s="95"/>
      <c r="BE817" s="95"/>
      <c r="BF817" s="94"/>
      <c r="BG817" s="94"/>
      <c r="BH817" s="94"/>
      <c r="BI817" s="94"/>
      <c r="BJ817" s="94"/>
      <c r="BK817" s="94"/>
      <c r="BL817" s="94"/>
      <c r="BM817" s="94"/>
      <c r="BN817" s="94"/>
      <c r="BO817" s="94"/>
      <c r="BP817" s="94"/>
      <c r="BQ817" s="94"/>
      <c r="BR817" s="94"/>
      <c r="BS817" s="94"/>
      <c r="BT817" s="94"/>
      <c r="BU817" s="94"/>
      <c r="BV817" s="94"/>
      <c r="BW817" s="94"/>
      <c r="BX817" s="94"/>
      <c r="BY817" s="94"/>
      <c r="BZ817" s="94"/>
      <c r="CA817" s="94"/>
      <c r="CB817" s="94"/>
      <c r="CC817" s="94"/>
      <c r="CD817" s="94"/>
      <c r="CE817" s="94"/>
      <c r="CF817" s="94"/>
      <c r="CG817" s="94"/>
      <c r="CH817" s="94"/>
      <c r="CI817" s="94"/>
      <c r="CJ817" s="94"/>
      <c r="CK817" s="94"/>
      <c r="CL817" s="94"/>
      <c r="CM817" s="94"/>
      <c r="CN817" s="94"/>
      <c r="CO817" s="94"/>
      <c r="CP817" s="94"/>
      <c r="CQ817" s="94"/>
      <c r="CR817" s="94"/>
      <c r="CS817" s="94"/>
      <c r="CT817" s="94"/>
      <c r="CU817" s="94"/>
      <c r="CV817" s="94"/>
      <c r="CW817" s="94"/>
      <c r="CX817" s="94"/>
      <c r="CY817" s="94"/>
      <c r="CZ817" s="94"/>
      <c r="DA817" s="94"/>
      <c r="DB817" s="94"/>
      <c r="DC817" s="94"/>
      <c r="DD817" s="94"/>
      <c r="DE817" s="94"/>
      <c r="DF817" s="94"/>
      <c r="DG817" s="94"/>
      <c r="DH817" s="94"/>
      <c r="DI817" s="94"/>
      <c r="DJ817" s="94"/>
      <c r="DK817" s="94"/>
      <c r="DL817" s="94"/>
      <c r="DM817" s="94"/>
      <c r="DN817" s="94"/>
      <c r="DO817" s="94"/>
      <c r="DP817" s="94"/>
      <c r="DQ817" s="94"/>
      <c r="DR817" s="94"/>
      <c r="DS817" s="94"/>
      <c r="DT817" s="94"/>
      <c r="DU817" s="94"/>
      <c r="DV817" s="94"/>
      <c r="DW817" s="94"/>
      <c r="DX817" s="94"/>
      <c r="DY817" s="94"/>
      <c r="DZ817" s="94"/>
      <c r="EA817" s="94"/>
      <c r="EB817" s="94"/>
      <c r="EC817" s="94"/>
      <c r="ED817" s="94"/>
      <c r="EE817" s="94"/>
      <c r="EF817" s="94"/>
      <c r="EG817" s="94"/>
      <c r="EH817" s="94"/>
      <c r="EI817" s="94"/>
      <c r="EJ817" s="94"/>
      <c r="EK817" s="94"/>
      <c r="EL817" s="94"/>
      <c r="EM817" s="94"/>
      <c r="EN817" s="94"/>
      <c r="EO817" s="94"/>
      <c r="EP817" s="94"/>
      <c r="EQ817" s="94"/>
      <c r="ER817" s="94"/>
      <c r="ES817" s="94"/>
      <c r="ET817" s="94"/>
      <c r="EU817" s="94"/>
      <c r="EV817" s="94"/>
      <c r="EW817" s="94"/>
      <c r="EX817" s="94"/>
      <c r="EY817" s="94"/>
      <c r="EZ817" s="94"/>
      <c r="FA817" s="94"/>
      <c r="FB817" s="94"/>
      <c r="FC817" s="94"/>
      <c r="FD817" s="94"/>
      <c r="FE817" s="94"/>
      <c r="FF817" s="94"/>
      <c r="FG817" s="94"/>
      <c r="FH817" s="94"/>
      <c r="FI817" s="94"/>
      <c r="FJ817" s="94"/>
      <c r="FK817" s="94"/>
      <c r="FL817" s="94"/>
      <c r="FM817" s="94"/>
      <c r="FN817" s="94"/>
      <c r="FO817" s="94"/>
      <c r="FP817" s="94"/>
      <c r="FQ817" s="94"/>
      <c r="FR817" s="94"/>
      <c r="FS817" s="94"/>
      <c r="FT817" s="94"/>
      <c r="FU817" s="94"/>
    </row>
    <row r="818" spans="1:177" s="134" customFormat="1" ht="21" customHeight="1" thickBot="1" x14ac:dyDescent="0.25">
      <c r="A818" s="94"/>
      <c r="B818" s="30" t="s">
        <v>30</v>
      </c>
      <c r="C818" s="6" t="s">
        <v>31</v>
      </c>
      <c r="D818" s="30" t="s">
        <v>105</v>
      </c>
      <c r="E818" s="32" t="s">
        <v>32</v>
      </c>
      <c r="F818" s="467"/>
      <c r="G818" s="33" t="s">
        <v>33</v>
      </c>
      <c r="H818" s="34">
        <v>45657</v>
      </c>
      <c r="I818" s="35">
        <v>2023</v>
      </c>
      <c r="J818" s="35"/>
      <c r="K818" s="35"/>
      <c r="L818" s="35"/>
      <c r="M818" s="36"/>
      <c r="N818" s="37"/>
      <c r="O818" s="38">
        <v>2024</v>
      </c>
      <c r="P818" s="39" t="s">
        <v>34</v>
      </c>
      <c r="Q818" s="40" t="s">
        <v>35</v>
      </c>
      <c r="R818" s="39" t="s">
        <v>36</v>
      </c>
      <c r="S818" s="41" t="s">
        <v>37</v>
      </c>
      <c r="T818" s="42" t="s">
        <v>38</v>
      </c>
      <c r="U818" s="43" t="s">
        <v>39</v>
      </c>
      <c r="V818" s="41" t="s">
        <v>39</v>
      </c>
      <c r="W818" s="44" t="s">
        <v>15</v>
      </c>
      <c r="X818" s="45" t="s">
        <v>35</v>
      </c>
      <c r="Y818" s="42" t="s">
        <v>35</v>
      </c>
      <c r="Z818" s="40" t="s">
        <v>35</v>
      </c>
      <c r="AA818" s="46" t="s">
        <v>35</v>
      </c>
      <c r="AB818" s="41" t="s">
        <v>35</v>
      </c>
      <c r="AC818" s="40" t="s">
        <v>35</v>
      </c>
      <c r="AD818" s="40" t="s">
        <v>35</v>
      </c>
      <c r="AE818" s="40" t="s">
        <v>35</v>
      </c>
      <c r="AF818" s="41" t="s">
        <v>35</v>
      </c>
      <c r="AG818" s="40" t="s">
        <v>35</v>
      </c>
      <c r="AH818" s="135"/>
      <c r="AI818" s="135"/>
      <c r="AJ818" s="30" t="s">
        <v>30</v>
      </c>
      <c r="AK818" s="6" t="s">
        <v>31</v>
      </c>
      <c r="AL818" s="30" t="s">
        <v>105</v>
      </c>
      <c r="AM818" s="32" t="s">
        <v>32</v>
      </c>
      <c r="AN818" s="467"/>
      <c r="AO818" s="40" t="s">
        <v>40</v>
      </c>
      <c r="AP818" s="39" t="s">
        <v>41</v>
      </c>
      <c r="AQ818" s="48" t="s">
        <v>40</v>
      </c>
      <c r="AR818" s="49" t="s">
        <v>40</v>
      </c>
      <c r="AS818" s="49" t="s">
        <v>40</v>
      </c>
      <c r="AT818" s="46" t="s">
        <v>40</v>
      </c>
      <c r="AU818" s="49" t="s">
        <v>40</v>
      </c>
      <c r="AV818" s="48" t="s">
        <v>40</v>
      </c>
      <c r="AW818" s="49" t="s">
        <v>40</v>
      </c>
      <c r="AX818" s="49" t="s">
        <v>40</v>
      </c>
      <c r="AY818" s="48" t="s">
        <v>40</v>
      </c>
      <c r="AZ818" s="49" t="s">
        <v>40</v>
      </c>
      <c r="BA818" s="94"/>
      <c r="BB818" s="92"/>
      <c r="BC818" s="95"/>
      <c r="BD818" s="95"/>
      <c r="BE818" s="95"/>
      <c r="BF818" s="94"/>
      <c r="BG818" s="94"/>
      <c r="BH818" s="94"/>
      <c r="BI818" s="94"/>
      <c r="BJ818" s="94"/>
      <c r="BK818" s="94"/>
      <c r="BL818" s="94"/>
      <c r="BM818" s="94"/>
      <c r="BN818" s="94"/>
      <c r="BO818" s="94"/>
      <c r="BP818" s="94"/>
      <c r="BQ818" s="94"/>
      <c r="BR818" s="94"/>
      <c r="BS818" s="94"/>
      <c r="BT818" s="94"/>
      <c r="BU818" s="94"/>
      <c r="BV818" s="94"/>
      <c r="BW818" s="94"/>
      <c r="BX818" s="94"/>
      <c r="BY818" s="94"/>
      <c r="BZ818" s="94"/>
      <c r="CA818" s="94"/>
      <c r="CB818" s="94"/>
      <c r="CC818" s="94"/>
      <c r="CD818" s="94"/>
      <c r="CE818" s="94"/>
      <c r="CF818" s="94"/>
      <c r="CG818" s="94"/>
      <c r="CH818" s="94"/>
      <c r="CI818" s="94"/>
      <c r="CJ818" s="94"/>
      <c r="CK818" s="94"/>
      <c r="CL818" s="94"/>
      <c r="CM818" s="94"/>
      <c r="CN818" s="94"/>
      <c r="CO818" s="94"/>
      <c r="CP818" s="94"/>
      <c r="CQ818" s="94"/>
      <c r="CR818" s="94"/>
      <c r="CS818" s="94"/>
      <c r="CT818" s="94"/>
      <c r="CU818" s="94"/>
      <c r="CV818" s="94"/>
      <c r="CW818" s="94"/>
      <c r="CX818" s="94"/>
      <c r="CY818" s="94"/>
      <c r="CZ818" s="94"/>
      <c r="DA818" s="94"/>
      <c r="DB818" s="94"/>
      <c r="DC818" s="94"/>
      <c r="DD818" s="94"/>
      <c r="DE818" s="94"/>
      <c r="DF818" s="94"/>
      <c r="DG818" s="94"/>
      <c r="DH818" s="94"/>
      <c r="DI818" s="94"/>
      <c r="DJ818" s="94"/>
      <c r="DK818" s="94"/>
      <c r="DL818" s="94"/>
      <c r="DM818" s="94"/>
      <c r="DN818" s="94"/>
      <c r="DO818" s="94"/>
      <c r="DP818" s="94"/>
      <c r="DQ818" s="94"/>
      <c r="DR818" s="94"/>
      <c r="DS818" s="94"/>
      <c r="DT818" s="94"/>
      <c r="DU818" s="94"/>
      <c r="DV818" s="94"/>
      <c r="DW818" s="94"/>
      <c r="DX818" s="94"/>
      <c r="DY818" s="94"/>
      <c r="DZ818" s="94"/>
      <c r="EA818" s="94"/>
      <c r="EB818" s="94"/>
      <c r="EC818" s="94"/>
      <c r="ED818" s="94"/>
      <c r="EE818" s="94"/>
      <c r="EF818" s="94"/>
      <c r="EG818" s="94"/>
      <c r="EH818" s="94"/>
      <c r="EI818" s="94"/>
      <c r="EJ818" s="94"/>
      <c r="EK818" s="94"/>
      <c r="EL818" s="94"/>
      <c r="EM818" s="94"/>
      <c r="EN818" s="94"/>
      <c r="EO818" s="94"/>
      <c r="EP818" s="94"/>
      <c r="EQ818" s="94"/>
      <c r="ER818" s="94"/>
      <c r="ES818" s="94"/>
      <c r="ET818" s="94"/>
      <c r="EU818" s="94"/>
      <c r="EV818" s="94"/>
      <c r="EW818" s="94"/>
      <c r="EX818" s="94"/>
      <c r="EY818" s="94"/>
      <c r="EZ818" s="94"/>
      <c r="FA818" s="94"/>
      <c r="FB818" s="94"/>
      <c r="FC818" s="94"/>
      <c r="FD818" s="94"/>
      <c r="FE818" s="94"/>
      <c r="FF818" s="94"/>
      <c r="FG818" s="94"/>
      <c r="FH818" s="94"/>
      <c r="FI818" s="94"/>
      <c r="FJ818" s="94"/>
      <c r="FK818" s="94"/>
      <c r="FL818" s="94"/>
      <c r="FM818" s="94"/>
      <c r="FN818" s="94"/>
      <c r="FO818" s="94"/>
      <c r="FP818" s="94"/>
      <c r="FQ818" s="94"/>
      <c r="FR818" s="94"/>
      <c r="FS818" s="94"/>
      <c r="FT818" s="94"/>
      <c r="FU818" s="94"/>
    </row>
    <row r="819" spans="1:177" ht="21" customHeight="1" x14ac:dyDescent="0.2">
      <c r="B819" s="51">
        <v>1</v>
      </c>
      <c r="C819" s="77" t="s">
        <v>42</v>
      </c>
      <c r="D819" s="51">
        <v>17123</v>
      </c>
      <c r="E819" s="53" t="s">
        <v>1001</v>
      </c>
      <c r="F819" s="73" t="s">
        <v>1002</v>
      </c>
      <c r="G819" s="55">
        <v>41281</v>
      </c>
      <c r="H819" s="56" t="str">
        <f t="shared" ref="H819:H862" si="976" xml:space="preserve"> CONCATENATE(DATEDIF(G819,H$5,"Y")," AÑOS")</f>
        <v>11 AÑOS</v>
      </c>
      <c r="I819" s="57">
        <v>12791.539390245911</v>
      </c>
      <c r="J819" s="58"/>
      <c r="K819" s="58"/>
      <c r="L819" s="59"/>
      <c r="M819" s="60">
        <v>4.0000000000000002E-4</v>
      </c>
      <c r="N819" s="61">
        <f t="shared" ref="N819:N860" si="977">I819*0.04</f>
        <v>511.66157560983646</v>
      </c>
      <c r="O819" s="58">
        <f t="shared" ref="O819:O860" si="978">I819+N819</f>
        <v>13303.200965855747</v>
      </c>
      <c r="P819" s="61">
        <f t="shared" ref="P819:P860" si="979">O819*2</f>
        <v>26606.401931711494</v>
      </c>
      <c r="Q819" s="61">
        <f t="shared" ref="Q819:Q860" si="980">P819*0.75</f>
        <v>19954.801448783619</v>
      </c>
      <c r="R819" s="61">
        <f t="shared" ref="R819:R860" si="981">P819*0.25</f>
        <v>6651.6004829278736</v>
      </c>
      <c r="S819" s="61">
        <f t="shared" ref="S819:S860" si="982">(P819/30)</f>
        <v>886.88006439038315</v>
      </c>
      <c r="T819" s="58">
        <f t="shared" ref="T819:T862" si="983">S819*1.1479</f>
        <v>1018.0496259137208</v>
      </c>
      <c r="U819" s="61">
        <f t="shared" ref="U819:U860" si="984">O819*0.75</f>
        <v>9977.4007243918095</v>
      </c>
      <c r="V819" s="58">
        <f t="shared" ref="V819:V860" si="985">O819*0.25</f>
        <v>3325.8002414639368</v>
      </c>
      <c r="W819" s="62">
        <v>0</v>
      </c>
      <c r="X819" s="63">
        <f t="shared" ref="X819:X860" si="986">P819*W819</f>
        <v>0</v>
      </c>
      <c r="Y819" s="61">
        <v>2616.2216374601812</v>
      </c>
      <c r="Z819" s="61">
        <v>0</v>
      </c>
      <c r="AA819" s="61">
        <f t="shared" ref="AA819:AA860" si="987">(S819*45)/12</f>
        <v>3325.8002414639373</v>
      </c>
      <c r="AB819" s="61">
        <f t="shared" ref="AB819:AB860" si="988">(S819*10)*(0.45*2)/12</f>
        <v>665.16004829278734</v>
      </c>
      <c r="AC819" s="61">
        <v>3809.3308729235155</v>
      </c>
      <c r="AD819" s="61">
        <v>2668.3589720011578</v>
      </c>
      <c r="AE819" s="61">
        <v>1577.9769201662673</v>
      </c>
      <c r="AF819" s="61">
        <v>0</v>
      </c>
      <c r="AG819" s="61">
        <f t="shared" ref="AG819:AG860" si="989">(P819+AA819+AB819)*0.03</f>
        <v>917.92086664404655</v>
      </c>
      <c r="AH819" s="64"/>
      <c r="AI819" s="64"/>
      <c r="AJ819" s="51">
        <v>1</v>
      </c>
      <c r="AK819" s="77" t="s">
        <v>42</v>
      </c>
      <c r="AL819" s="51">
        <v>17123</v>
      </c>
      <c r="AM819" s="53" t="s">
        <v>1001</v>
      </c>
      <c r="AN819" s="73" t="s">
        <v>1002</v>
      </c>
      <c r="AO819" s="65">
        <f t="shared" ref="AO819:AP825" si="990">Q819*12</f>
        <v>239457.61738540343</v>
      </c>
      <c r="AP819" s="65">
        <f t="shared" si="990"/>
        <v>79819.205795134476</v>
      </c>
      <c r="AQ819" s="65">
        <f t="shared" ref="AQ819:AZ825" si="991">X819*12</f>
        <v>0</v>
      </c>
      <c r="AR819" s="65">
        <f t="shared" si="991"/>
        <v>31394.659649522175</v>
      </c>
      <c r="AS819" s="65">
        <f t="shared" si="991"/>
        <v>0</v>
      </c>
      <c r="AT819" s="65">
        <f t="shared" si="991"/>
        <v>39909.602897567245</v>
      </c>
      <c r="AU819" s="65">
        <f t="shared" si="991"/>
        <v>7981.9205795134476</v>
      </c>
      <c r="AV819" s="65">
        <f t="shared" si="991"/>
        <v>45711.970475082184</v>
      </c>
      <c r="AW819" s="65">
        <f t="shared" si="991"/>
        <v>32020.307664013893</v>
      </c>
      <c r="AX819" s="65">
        <f t="shared" si="991"/>
        <v>18935.723041995207</v>
      </c>
      <c r="AY819" s="65">
        <f t="shared" si="991"/>
        <v>0</v>
      </c>
      <c r="AZ819" s="65">
        <f t="shared" si="991"/>
        <v>11015.05039972856</v>
      </c>
      <c r="BB819" s="64"/>
      <c r="BC819" s="66"/>
      <c r="BD819" s="66"/>
      <c r="BE819" s="66"/>
    </row>
    <row r="820" spans="1:177" ht="21" customHeight="1" x14ac:dyDescent="0.2">
      <c r="B820" s="67">
        <v>2</v>
      </c>
      <c r="C820" s="73" t="s">
        <v>42</v>
      </c>
      <c r="D820" s="67">
        <v>17135</v>
      </c>
      <c r="E820" s="72" t="s">
        <v>1003</v>
      </c>
      <c r="F820" s="82" t="s">
        <v>1004</v>
      </c>
      <c r="G820" s="55">
        <v>41655</v>
      </c>
      <c r="H820" s="56" t="str">
        <f t="shared" si="976"/>
        <v>10 AÑOS</v>
      </c>
      <c r="I820" s="57">
        <v>6930.5841037237897</v>
      </c>
      <c r="J820" s="58"/>
      <c r="K820" s="58"/>
      <c r="L820" s="59"/>
      <c r="M820" s="60">
        <v>4.0000000000000002E-4</v>
      </c>
      <c r="N820" s="61">
        <f t="shared" si="977"/>
        <v>277.22336414895159</v>
      </c>
      <c r="O820" s="58">
        <f t="shared" si="978"/>
        <v>7207.8074678727417</v>
      </c>
      <c r="P820" s="61">
        <f t="shared" si="979"/>
        <v>14415.614935745483</v>
      </c>
      <c r="Q820" s="61">
        <f t="shared" si="980"/>
        <v>10811.711201809112</v>
      </c>
      <c r="R820" s="61">
        <f t="shared" si="981"/>
        <v>3603.9037339363708</v>
      </c>
      <c r="S820" s="61">
        <f t="shared" si="982"/>
        <v>480.52049785818275</v>
      </c>
      <c r="T820" s="58">
        <f t="shared" si="983"/>
        <v>551.58947949140793</v>
      </c>
      <c r="U820" s="61">
        <f t="shared" si="984"/>
        <v>5405.855600904556</v>
      </c>
      <c r="V820" s="58">
        <f t="shared" si="985"/>
        <v>1801.9518669681854</v>
      </c>
      <c r="W820" s="62">
        <v>0</v>
      </c>
      <c r="X820" s="63">
        <f t="shared" si="986"/>
        <v>0</v>
      </c>
      <c r="Y820" s="61">
        <v>863.35344275683133</v>
      </c>
      <c r="Z820" s="61">
        <v>0</v>
      </c>
      <c r="AA820" s="61">
        <f t="shared" si="987"/>
        <v>1801.9518669681854</v>
      </c>
      <c r="AB820" s="61">
        <f t="shared" si="988"/>
        <v>360.39037339363705</v>
      </c>
      <c r="AC820" s="61">
        <v>2315.2052410779647</v>
      </c>
      <c r="AD820" s="61">
        <v>1445.7436052209548</v>
      </c>
      <c r="AE820" s="61">
        <v>854.96369321168231</v>
      </c>
      <c r="AF820" s="61">
        <v>0</v>
      </c>
      <c r="AG820" s="61">
        <f t="shared" si="989"/>
        <v>497.33871528321913</v>
      </c>
      <c r="AH820" s="64"/>
      <c r="AI820" s="64"/>
      <c r="AJ820" s="67">
        <v>2</v>
      </c>
      <c r="AK820" s="73" t="s">
        <v>42</v>
      </c>
      <c r="AL820" s="67">
        <v>17135</v>
      </c>
      <c r="AM820" s="72" t="s">
        <v>1003</v>
      </c>
      <c r="AN820" s="82" t="s">
        <v>1004</v>
      </c>
      <c r="AO820" s="65">
        <f t="shared" si="990"/>
        <v>129740.53442170934</v>
      </c>
      <c r="AP820" s="65">
        <f t="shared" si="990"/>
        <v>43246.844807236448</v>
      </c>
      <c r="AQ820" s="65">
        <f t="shared" si="991"/>
        <v>0</v>
      </c>
      <c r="AR820" s="65">
        <f t="shared" si="991"/>
        <v>10360.241313081977</v>
      </c>
      <c r="AS820" s="65">
        <f t="shared" si="991"/>
        <v>0</v>
      </c>
      <c r="AT820" s="65">
        <f t="shared" si="991"/>
        <v>21623.422403618224</v>
      </c>
      <c r="AU820" s="65">
        <f t="shared" si="991"/>
        <v>4324.6844807236448</v>
      </c>
      <c r="AV820" s="65">
        <f t="shared" si="991"/>
        <v>27782.462892935575</v>
      </c>
      <c r="AW820" s="65">
        <f t="shared" si="991"/>
        <v>17348.923262651457</v>
      </c>
      <c r="AX820" s="65">
        <f t="shared" si="991"/>
        <v>10259.564318540188</v>
      </c>
      <c r="AY820" s="65">
        <f t="shared" si="991"/>
        <v>0</v>
      </c>
      <c r="AZ820" s="65">
        <f t="shared" si="991"/>
        <v>5968.0645833986291</v>
      </c>
      <c r="BB820" s="64"/>
      <c r="BC820" s="66"/>
      <c r="BD820" s="66"/>
      <c r="BE820" s="66"/>
    </row>
    <row r="821" spans="1:177" ht="21" customHeight="1" x14ac:dyDescent="0.2">
      <c r="B821" s="67">
        <v>3</v>
      </c>
      <c r="C821" s="73" t="s">
        <v>42</v>
      </c>
      <c r="D821" s="67">
        <v>17105</v>
      </c>
      <c r="E821" s="72" t="s">
        <v>1005</v>
      </c>
      <c r="F821" s="72" t="s">
        <v>1006</v>
      </c>
      <c r="G821" s="55">
        <v>39667</v>
      </c>
      <c r="H821" s="56" t="str">
        <f t="shared" si="976"/>
        <v>16 AÑOS</v>
      </c>
      <c r="I821" s="57">
        <v>5430.9722350664415</v>
      </c>
      <c r="J821" s="58"/>
      <c r="K821" s="58"/>
      <c r="L821" s="59"/>
      <c r="M821" s="60">
        <v>4.0000000000000002E-4</v>
      </c>
      <c r="N821" s="61">
        <f t="shared" si="977"/>
        <v>217.23888940265766</v>
      </c>
      <c r="O821" s="58">
        <f t="shared" si="978"/>
        <v>5648.2111244690996</v>
      </c>
      <c r="P821" s="61">
        <f t="shared" si="979"/>
        <v>11296.422248938199</v>
      </c>
      <c r="Q821" s="61">
        <f t="shared" si="980"/>
        <v>8472.3166867036489</v>
      </c>
      <c r="R821" s="61">
        <f t="shared" si="981"/>
        <v>2824.1055622345498</v>
      </c>
      <c r="S821" s="61">
        <f t="shared" si="982"/>
        <v>376.54740829793997</v>
      </c>
      <c r="T821" s="58">
        <f t="shared" si="983"/>
        <v>432.23876998520524</v>
      </c>
      <c r="U821" s="61">
        <f t="shared" si="984"/>
        <v>4236.1583433518244</v>
      </c>
      <c r="V821" s="58">
        <f t="shared" si="985"/>
        <v>1412.0527811172749</v>
      </c>
      <c r="W821" s="62">
        <v>0</v>
      </c>
      <c r="X821" s="63">
        <f t="shared" si="986"/>
        <v>0</v>
      </c>
      <c r="Y821" s="61">
        <v>608.827319513357</v>
      </c>
      <c r="Z821" s="61">
        <v>0</v>
      </c>
      <c r="AA821" s="61">
        <f t="shared" si="987"/>
        <v>1412.0527811172749</v>
      </c>
      <c r="AB821" s="61">
        <f t="shared" si="988"/>
        <v>282.41055622345499</v>
      </c>
      <c r="AC821" s="61">
        <v>1932.9111573927914</v>
      </c>
      <c r="AD821" s="61">
        <v>1132.919428069722</v>
      </c>
      <c r="AE821" s="61">
        <v>669.97009347706808</v>
      </c>
      <c r="AF821" s="61">
        <v>0</v>
      </c>
      <c r="AG821" s="61">
        <f t="shared" si="989"/>
        <v>389.7265675883678</v>
      </c>
      <c r="AH821" s="64"/>
      <c r="AI821" s="64"/>
      <c r="AJ821" s="67">
        <v>3</v>
      </c>
      <c r="AK821" s="73" t="s">
        <v>42</v>
      </c>
      <c r="AL821" s="67">
        <v>17105</v>
      </c>
      <c r="AM821" s="72" t="s">
        <v>1005</v>
      </c>
      <c r="AN821" s="72" t="s">
        <v>1006</v>
      </c>
      <c r="AO821" s="65">
        <f t="shared" si="990"/>
        <v>101667.80024044379</v>
      </c>
      <c r="AP821" s="65">
        <f t="shared" si="990"/>
        <v>33889.266746814596</v>
      </c>
      <c r="AQ821" s="65">
        <f t="shared" si="991"/>
        <v>0</v>
      </c>
      <c r="AR821" s="65">
        <f t="shared" si="991"/>
        <v>7305.927834160284</v>
      </c>
      <c r="AS821" s="65">
        <f t="shared" si="991"/>
        <v>0</v>
      </c>
      <c r="AT821" s="65">
        <f t="shared" si="991"/>
        <v>16944.633373407298</v>
      </c>
      <c r="AU821" s="65">
        <f t="shared" si="991"/>
        <v>3388.9266746814601</v>
      </c>
      <c r="AV821" s="65">
        <f t="shared" si="991"/>
        <v>23194.933888713498</v>
      </c>
      <c r="AW821" s="65">
        <f t="shared" si="991"/>
        <v>13595.033136836664</v>
      </c>
      <c r="AX821" s="65">
        <f t="shared" si="991"/>
        <v>8039.6411217248169</v>
      </c>
      <c r="AY821" s="65">
        <f t="shared" si="991"/>
        <v>0</v>
      </c>
      <c r="AZ821" s="65">
        <f t="shared" si="991"/>
        <v>4676.7188110604138</v>
      </c>
      <c r="BB821" s="64"/>
      <c r="BC821" s="66"/>
      <c r="BD821" s="66"/>
      <c r="BE821" s="66"/>
    </row>
    <row r="822" spans="1:177" ht="21" customHeight="1" x14ac:dyDescent="0.2">
      <c r="B822" s="51">
        <v>4</v>
      </c>
      <c r="C822" s="73" t="s">
        <v>42</v>
      </c>
      <c r="D822" s="67">
        <v>17160</v>
      </c>
      <c r="E822" s="73" t="s">
        <v>1007</v>
      </c>
      <c r="F822" s="72" t="s">
        <v>1006</v>
      </c>
      <c r="G822" s="55">
        <v>43847</v>
      </c>
      <c r="H822" s="56" t="str">
        <f t="shared" si="976"/>
        <v>4 AÑOS</v>
      </c>
      <c r="I822" s="57">
        <v>5430.7735578372012</v>
      </c>
      <c r="J822" s="58"/>
      <c r="K822" s="58"/>
      <c r="L822" s="59"/>
      <c r="M822" s="60">
        <v>4.0000000000000002E-4</v>
      </c>
      <c r="N822" s="61">
        <f t="shared" si="977"/>
        <v>217.23094231348804</v>
      </c>
      <c r="O822" s="58">
        <f t="shared" si="978"/>
        <v>5648.0045001506896</v>
      </c>
      <c r="P822" s="61">
        <f t="shared" si="979"/>
        <v>11296.009000301379</v>
      </c>
      <c r="Q822" s="61">
        <f t="shared" si="980"/>
        <v>8472.0067502260354</v>
      </c>
      <c r="R822" s="61">
        <f t="shared" si="981"/>
        <v>2824.0022500753448</v>
      </c>
      <c r="S822" s="61">
        <f t="shared" si="982"/>
        <v>376.53363334337934</v>
      </c>
      <c r="T822" s="58">
        <f t="shared" si="983"/>
        <v>432.22295771486512</v>
      </c>
      <c r="U822" s="61">
        <f t="shared" si="984"/>
        <v>4236.0033751130177</v>
      </c>
      <c r="V822" s="58">
        <f t="shared" si="985"/>
        <v>1412.0011250376724</v>
      </c>
      <c r="W822" s="62">
        <v>0</v>
      </c>
      <c r="X822" s="63">
        <f t="shared" si="986"/>
        <v>0</v>
      </c>
      <c r="Y822" s="61">
        <v>608.79359842459257</v>
      </c>
      <c r="Z822" s="61">
        <v>0</v>
      </c>
      <c r="AA822" s="61">
        <f t="shared" si="987"/>
        <v>1412.0011250376726</v>
      </c>
      <c r="AB822" s="61">
        <f t="shared" si="988"/>
        <v>282.40022500753452</v>
      </c>
      <c r="AC822" s="61">
        <v>1932.8605088677375</v>
      </c>
      <c r="AD822" s="61">
        <v>1132.8779833185472</v>
      </c>
      <c r="AE822" s="61">
        <v>669.94558445804103</v>
      </c>
      <c r="AF822" s="61">
        <v>0</v>
      </c>
      <c r="AG822" s="61">
        <f t="shared" si="989"/>
        <v>389.71231051039751</v>
      </c>
      <c r="AH822" s="64"/>
      <c r="AI822" s="64"/>
      <c r="AJ822" s="51">
        <v>4</v>
      </c>
      <c r="AK822" s="73" t="s">
        <v>42</v>
      </c>
      <c r="AL822" s="67">
        <v>17160</v>
      </c>
      <c r="AM822" s="73" t="s">
        <v>1007</v>
      </c>
      <c r="AN822" s="72" t="s">
        <v>1006</v>
      </c>
      <c r="AO822" s="65">
        <f t="shared" si="990"/>
        <v>101664.08100271242</v>
      </c>
      <c r="AP822" s="65">
        <f t="shared" si="990"/>
        <v>33888.027000904141</v>
      </c>
      <c r="AQ822" s="65">
        <f t="shared" si="991"/>
        <v>0</v>
      </c>
      <c r="AR822" s="65">
        <f t="shared" si="991"/>
        <v>7305.5231810951109</v>
      </c>
      <c r="AS822" s="65">
        <f t="shared" si="991"/>
        <v>0</v>
      </c>
      <c r="AT822" s="65">
        <f t="shared" si="991"/>
        <v>16944.013500452071</v>
      </c>
      <c r="AU822" s="65">
        <f t="shared" si="991"/>
        <v>3388.802700090414</v>
      </c>
      <c r="AV822" s="65">
        <f t="shared" si="991"/>
        <v>23194.326106412849</v>
      </c>
      <c r="AW822" s="65">
        <f t="shared" si="991"/>
        <v>13594.535799822566</v>
      </c>
      <c r="AX822" s="65">
        <f t="shared" si="991"/>
        <v>8039.3470134964919</v>
      </c>
      <c r="AY822" s="65">
        <f t="shared" si="991"/>
        <v>0</v>
      </c>
      <c r="AZ822" s="65">
        <f t="shared" si="991"/>
        <v>4676.5477261247706</v>
      </c>
      <c r="BB822" s="64"/>
      <c r="BC822" s="66"/>
      <c r="BD822" s="66"/>
      <c r="BE822" s="66"/>
    </row>
    <row r="823" spans="1:177" ht="21" customHeight="1" x14ac:dyDescent="0.2">
      <c r="B823" s="67">
        <v>5</v>
      </c>
      <c r="C823" s="73" t="s">
        <v>42</v>
      </c>
      <c r="D823" s="78">
        <v>17093</v>
      </c>
      <c r="E823" s="72" t="s">
        <v>1008</v>
      </c>
      <c r="F823" s="72" t="s">
        <v>1006</v>
      </c>
      <c r="G823" s="55">
        <v>38823</v>
      </c>
      <c r="H823" s="56" t="str">
        <f t="shared" si="976"/>
        <v>18 AÑOS</v>
      </c>
      <c r="I823" s="57">
        <v>5430.6546282811696</v>
      </c>
      <c r="J823" s="58"/>
      <c r="K823" s="58"/>
      <c r="L823" s="59"/>
      <c r="M823" s="60">
        <v>4.0000000000000002E-4</v>
      </c>
      <c r="N823" s="61">
        <f t="shared" si="977"/>
        <v>217.22618513124678</v>
      </c>
      <c r="O823" s="58">
        <f t="shared" si="978"/>
        <v>5647.8808134124165</v>
      </c>
      <c r="P823" s="61">
        <f t="shared" si="979"/>
        <v>11295.761626824833</v>
      </c>
      <c r="Q823" s="61">
        <f t="shared" si="980"/>
        <v>8471.8212201186252</v>
      </c>
      <c r="R823" s="61">
        <f t="shared" si="981"/>
        <v>2823.9404067062083</v>
      </c>
      <c r="S823" s="61">
        <f t="shared" si="982"/>
        <v>376.52538756082777</v>
      </c>
      <c r="T823" s="58">
        <f t="shared" si="983"/>
        <v>432.21349238107416</v>
      </c>
      <c r="U823" s="61">
        <f t="shared" si="984"/>
        <v>4235.9106100593126</v>
      </c>
      <c r="V823" s="58">
        <f t="shared" si="985"/>
        <v>1411.9702033531041</v>
      </c>
      <c r="W823" s="62">
        <v>0</v>
      </c>
      <c r="X823" s="63">
        <f t="shared" si="986"/>
        <v>0</v>
      </c>
      <c r="Y823" s="61">
        <v>608.77341274890637</v>
      </c>
      <c r="Z823" s="61">
        <v>0</v>
      </c>
      <c r="AA823" s="61">
        <f t="shared" si="987"/>
        <v>1411.9702033531041</v>
      </c>
      <c r="AB823" s="61">
        <f t="shared" si="988"/>
        <v>282.39404067062083</v>
      </c>
      <c r="AC823" s="61">
        <v>1932.8301903122519</v>
      </c>
      <c r="AD823" s="61">
        <v>1132.8531742054145</v>
      </c>
      <c r="AE823" s="61">
        <v>669.93091319066502</v>
      </c>
      <c r="AF823" s="61">
        <v>0</v>
      </c>
      <c r="AG823" s="61">
        <f t="shared" si="989"/>
        <v>389.70377612545673</v>
      </c>
      <c r="AH823" s="64"/>
      <c r="AI823" s="64"/>
      <c r="AJ823" s="67">
        <v>5</v>
      </c>
      <c r="AK823" s="73" t="s">
        <v>42</v>
      </c>
      <c r="AL823" s="78">
        <v>17093</v>
      </c>
      <c r="AM823" s="72" t="s">
        <v>1008</v>
      </c>
      <c r="AN823" s="72" t="s">
        <v>1006</v>
      </c>
      <c r="AO823" s="65">
        <f t="shared" si="990"/>
        <v>101661.8546414235</v>
      </c>
      <c r="AP823" s="65">
        <f t="shared" si="990"/>
        <v>33887.284880474501</v>
      </c>
      <c r="AQ823" s="65">
        <f t="shared" si="991"/>
        <v>0</v>
      </c>
      <c r="AR823" s="65">
        <f t="shared" si="991"/>
        <v>7305.2809529868764</v>
      </c>
      <c r="AS823" s="65">
        <f t="shared" si="991"/>
        <v>0</v>
      </c>
      <c r="AT823" s="65">
        <f t="shared" si="991"/>
        <v>16943.64244023725</v>
      </c>
      <c r="AU823" s="65">
        <f t="shared" si="991"/>
        <v>3388.7284880474499</v>
      </c>
      <c r="AV823" s="65">
        <f t="shared" si="991"/>
        <v>23193.962283747023</v>
      </c>
      <c r="AW823" s="65">
        <f t="shared" si="991"/>
        <v>13594.238090464973</v>
      </c>
      <c r="AX823" s="65">
        <f t="shared" si="991"/>
        <v>8039.1709582879803</v>
      </c>
      <c r="AY823" s="65">
        <f t="shared" si="991"/>
        <v>0</v>
      </c>
      <c r="AZ823" s="65">
        <f t="shared" si="991"/>
        <v>4676.445313505481</v>
      </c>
      <c r="BB823" s="64"/>
      <c r="BC823" s="66"/>
      <c r="BD823" s="66"/>
      <c r="BE823" s="66"/>
    </row>
    <row r="824" spans="1:177" ht="21" customHeight="1" x14ac:dyDescent="0.2">
      <c r="B824" s="67">
        <v>6</v>
      </c>
      <c r="C824" s="73" t="s">
        <v>42</v>
      </c>
      <c r="D824" s="78">
        <v>17023</v>
      </c>
      <c r="E824" s="192" t="s">
        <v>1009</v>
      </c>
      <c r="F824" s="72" t="s">
        <v>1010</v>
      </c>
      <c r="G824" s="55">
        <v>36930</v>
      </c>
      <c r="H824" s="56" t="str">
        <f t="shared" si="976"/>
        <v>23 AÑOS</v>
      </c>
      <c r="I824" s="57">
        <v>6628.6196775123972</v>
      </c>
      <c r="J824" s="58"/>
      <c r="K824" s="58"/>
      <c r="L824" s="59"/>
      <c r="M824" s="60">
        <v>4.0000000000000002E-4</v>
      </c>
      <c r="N824" s="61">
        <f t="shared" si="977"/>
        <v>265.14478710049588</v>
      </c>
      <c r="O824" s="58">
        <f t="shared" si="978"/>
        <v>6893.7644646128929</v>
      </c>
      <c r="P824" s="61">
        <f t="shared" si="979"/>
        <v>13787.528929225786</v>
      </c>
      <c r="Q824" s="61">
        <f t="shared" si="980"/>
        <v>10340.646696919339</v>
      </c>
      <c r="R824" s="61">
        <f t="shared" si="981"/>
        <v>3446.8822323064464</v>
      </c>
      <c r="S824" s="61">
        <f t="shared" si="982"/>
        <v>459.58429764085952</v>
      </c>
      <c r="T824" s="58">
        <f t="shared" si="983"/>
        <v>527.55681526194257</v>
      </c>
      <c r="U824" s="61">
        <f t="shared" si="984"/>
        <v>5170.3233484596694</v>
      </c>
      <c r="V824" s="58">
        <f t="shared" si="985"/>
        <v>1723.4411161532232</v>
      </c>
      <c r="W824" s="62">
        <v>0</v>
      </c>
      <c r="X824" s="63">
        <f t="shared" si="986"/>
        <v>0</v>
      </c>
      <c r="Y824" s="61">
        <v>812.10162462482401</v>
      </c>
      <c r="Z824" s="61">
        <v>0</v>
      </c>
      <c r="AA824" s="61">
        <f t="shared" si="987"/>
        <v>1723.4411161532232</v>
      </c>
      <c r="AB824" s="61">
        <f t="shared" si="988"/>
        <v>344.68822323064461</v>
      </c>
      <c r="AC824" s="61">
        <v>2238.2258465848017</v>
      </c>
      <c r="AD824" s="61">
        <v>1382.7527906423147</v>
      </c>
      <c r="AE824" s="61">
        <v>817.71306365601106</v>
      </c>
      <c r="AF824" s="61">
        <v>0</v>
      </c>
      <c r="AG824" s="61">
        <f t="shared" si="989"/>
        <v>475.6697480582896</v>
      </c>
      <c r="AH824" s="64"/>
      <c r="AI824" s="64"/>
      <c r="AJ824" s="67">
        <v>6</v>
      </c>
      <c r="AK824" s="73" t="s">
        <v>42</v>
      </c>
      <c r="AL824" s="78">
        <v>17023</v>
      </c>
      <c r="AM824" s="192" t="s">
        <v>1009</v>
      </c>
      <c r="AN824" s="72" t="s">
        <v>1010</v>
      </c>
      <c r="AO824" s="65">
        <f t="shared" si="990"/>
        <v>124087.76036303207</v>
      </c>
      <c r="AP824" s="65">
        <f t="shared" si="990"/>
        <v>41362.586787677355</v>
      </c>
      <c r="AQ824" s="65">
        <f t="shared" si="991"/>
        <v>0</v>
      </c>
      <c r="AR824" s="65">
        <f t="shared" si="991"/>
        <v>9745.2194954978877</v>
      </c>
      <c r="AS824" s="65">
        <f t="shared" si="991"/>
        <v>0</v>
      </c>
      <c r="AT824" s="65">
        <f t="shared" si="991"/>
        <v>20681.293393838678</v>
      </c>
      <c r="AU824" s="65">
        <f t="shared" si="991"/>
        <v>4136.2586787677355</v>
      </c>
      <c r="AV824" s="65">
        <f t="shared" si="991"/>
        <v>26858.710159017621</v>
      </c>
      <c r="AW824" s="65">
        <f t="shared" si="991"/>
        <v>16593.033487707777</v>
      </c>
      <c r="AX824" s="65">
        <f t="shared" si="991"/>
        <v>9812.5567638721332</v>
      </c>
      <c r="AY824" s="65">
        <f t="shared" si="991"/>
        <v>0</v>
      </c>
      <c r="AZ824" s="65">
        <f t="shared" si="991"/>
        <v>5708.0369766994754</v>
      </c>
      <c r="BB824" s="64"/>
      <c r="BC824" s="66"/>
      <c r="BD824" s="66"/>
      <c r="BE824" s="66"/>
    </row>
    <row r="825" spans="1:177" ht="21" customHeight="1" x14ac:dyDescent="0.2">
      <c r="B825" s="51">
        <v>7</v>
      </c>
      <c r="C825" s="73" t="s">
        <v>42</v>
      </c>
      <c r="D825" s="67">
        <v>17173</v>
      </c>
      <c r="E825" s="73" t="s">
        <v>1011</v>
      </c>
      <c r="F825" s="72" t="s">
        <v>1012</v>
      </c>
      <c r="G825" s="169">
        <v>45185</v>
      </c>
      <c r="H825" s="56" t="str">
        <f t="shared" si="976"/>
        <v>1 AÑOS</v>
      </c>
      <c r="I825" s="57">
        <v>4311.7196961875306</v>
      </c>
      <c r="J825" s="58"/>
      <c r="K825" s="58"/>
      <c r="L825" s="59"/>
      <c r="M825" s="60">
        <v>4.0000000000000002E-4</v>
      </c>
      <c r="N825" s="61">
        <f t="shared" si="977"/>
        <v>172.46878784750123</v>
      </c>
      <c r="O825" s="58">
        <f t="shared" si="978"/>
        <v>4484.1884840350322</v>
      </c>
      <c r="P825" s="61">
        <f t="shared" si="979"/>
        <v>8968.3769680700643</v>
      </c>
      <c r="Q825" s="61">
        <f t="shared" si="980"/>
        <v>6726.2827260525482</v>
      </c>
      <c r="R825" s="61">
        <f t="shared" si="981"/>
        <v>2242.0942420175161</v>
      </c>
      <c r="S825" s="61">
        <f t="shared" si="982"/>
        <v>298.94589893566882</v>
      </c>
      <c r="T825" s="58">
        <f t="shared" si="983"/>
        <v>343.15999738825423</v>
      </c>
      <c r="U825" s="61">
        <f t="shared" si="984"/>
        <v>3363.1413630262741</v>
      </c>
      <c r="V825" s="58">
        <f t="shared" si="985"/>
        <v>1121.047121008758</v>
      </c>
      <c r="W825" s="62">
        <v>0</v>
      </c>
      <c r="X825" s="63">
        <f t="shared" si="986"/>
        <v>0</v>
      </c>
      <c r="Y825" s="61">
        <v>168.65882459451723</v>
      </c>
      <c r="Z825" s="61">
        <v>0</v>
      </c>
      <c r="AA825" s="61">
        <f t="shared" si="987"/>
        <v>1121.047121008758</v>
      </c>
      <c r="AB825" s="61">
        <f t="shared" si="988"/>
        <v>224.20942420175163</v>
      </c>
      <c r="AC825" s="61">
        <v>1647.5815779822769</v>
      </c>
      <c r="AD825" s="61">
        <v>838.80313961597926</v>
      </c>
      <c r="AE825" s="61">
        <v>531.89799595179409</v>
      </c>
      <c r="AF825" s="61">
        <v>0</v>
      </c>
      <c r="AG825" s="61">
        <f t="shared" si="989"/>
        <v>309.40900539841721</v>
      </c>
      <c r="AH825" s="64"/>
      <c r="AI825" s="64"/>
      <c r="AJ825" s="51">
        <v>7</v>
      </c>
      <c r="AK825" s="73" t="s">
        <v>42</v>
      </c>
      <c r="AL825" s="67">
        <v>17173</v>
      </c>
      <c r="AM825" s="73" t="s">
        <v>1011</v>
      </c>
      <c r="AN825" s="72" t="s">
        <v>1012</v>
      </c>
      <c r="AO825" s="65">
        <f t="shared" si="990"/>
        <v>80715.392712630579</v>
      </c>
      <c r="AP825" s="65">
        <f t="shared" si="990"/>
        <v>26905.130904210193</v>
      </c>
      <c r="AQ825" s="65">
        <f t="shared" si="991"/>
        <v>0</v>
      </c>
      <c r="AR825" s="65">
        <f t="shared" si="991"/>
        <v>2023.9058951342067</v>
      </c>
      <c r="AS825" s="65">
        <f t="shared" si="991"/>
        <v>0</v>
      </c>
      <c r="AT825" s="65">
        <f t="shared" si="991"/>
        <v>13452.565452105096</v>
      </c>
      <c r="AU825" s="65">
        <f t="shared" si="991"/>
        <v>2690.5130904210196</v>
      </c>
      <c r="AV825" s="65">
        <f t="shared" si="991"/>
        <v>19770.978935787323</v>
      </c>
      <c r="AW825" s="65">
        <f t="shared" si="991"/>
        <v>10065.63767539175</v>
      </c>
      <c r="AX825" s="65">
        <f t="shared" si="991"/>
        <v>6382.7759514215286</v>
      </c>
      <c r="AY825" s="65">
        <f t="shared" si="991"/>
        <v>0</v>
      </c>
      <c r="AZ825" s="65">
        <f t="shared" si="991"/>
        <v>3712.9080647810065</v>
      </c>
      <c r="BB825" s="64"/>
      <c r="BC825" s="66"/>
      <c r="BD825" s="66"/>
      <c r="BE825" s="66"/>
    </row>
    <row r="826" spans="1:177" ht="21" customHeight="1" x14ac:dyDescent="0.2">
      <c r="B826" s="67">
        <v>8</v>
      </c>
      <c r="C826" s="73" t="s">
        <v>42</v>
      </c>
      <c r="D826" s="67">
        <v>16418</v>
      </c>
      <c r="E826" s="73" t="s">
        <v>1013</v>
      </c>
      <c r="F826" s="72" t="s">
        <v>1012</v>
      </c>
      <c r="G826" s="55">
        <v>42125</v>
      </c>
      <c r="H826" s="56"/>
      <c r="I826" s="57">
        <v>4311.7196961875306</v>
      </c>
      <c r="J826" s="58"/>
      <c r="K826" s="58"/>
      <c r="L826" s="59"/>
      <c r="M826" s="60">
        <v>4.0000000000000002E-4</v>
      </c>
      <c r="N826" s="61">
        <f t="shared" si="977"/>
        <v>172.46878784750123</v>
      </c>
      <c r="O826" s="58">
        <f t="shared" si="978"/>
        <v>4484.1884840350322</v>
      </c>
      <c r="P826" s="61">
        <f>O826*2</f>
        <v>8968.3769680700643</v>
      </c>
      <c r="Q826" s="61">
        <f>P826*0.75</f>
        <v>6726.2827260525482</v>
      </c>
      <c r="R826" s="61">
        <f>P826*0.25</f>
        <v>2242.0942420175161</v>
      </c>
      <c r="S826" s="61">
        <f>(P826/30)</f>
        <v>298.94589893566882</v>
      </c>
      <c r="T826" s="58">
        <f t="shared" si="983"/>
        <v>343.15999738825423</v>
      </c>
      <c r="U826" s="61">
        <f>O826*0.75</f>
        <v>3363.1413630262741</v>
      </c>
      <c r="V826" s="58">
        <f>O826*0.25</f>
        <v>1121.047121008758</v>
      </c>
      <c r="W826" s="62">
        <v>0</v>
      </c>
      <c r="X826" s="63">
        <f t="shared" si="986"/>
        <v>0</v>
      </c>
      <c r="Y826" s="61">
        <v>168.65882459451723</v>
      </c>
      <c r="Z826" s="61">
        <v>0</v>
      </c>
      <c r="AA826" s="61">
        <f t="shared" si="987"/>
        <v>1121.047121008758</v>
      </c>
      <c r="AB826" s="61">
        <f t="shared" si="988"/>
        <v>224.20942420175163</v>
      </c>
      <c r="AC826" s="61">
        <v>1647.5815779822769</v>
      </c>
      <c r="AD826" s="61">
        <v>838.80313961597926</v>
      </c>
      <c r="AE826" s="61">
        <v>531.89799595179409</v>
      </c>
      <c r="AF826" s="61">
        <v>0</v>
      </c>
      <c r="AG826" s="61">
        <f t="shared" si="989"/>
        <v>309.40900539841721</v>
      </c>
      <c r="AH826" s="64"/>
      <c r="AI826" s="64"/>
      <c r="AJ826" s="67">
        <v>8</v>
      </c>
      <c r="AK826" s="73" t="s">
        <v>42</v>
      </c>
      <c r="AL826" s="67">
        <v>16418</v>
      </c>
      <c r="AM826" s="73" t="s">
        <v>1013</v>
      </c>
      <c r="AN826" s="72" t="s">
        <v>1012</v>
      </c>
      <c r="AO826" s="65">
        <f>Q826*7</f>
        <v>47083.979082367834</v>
      </c>
      <c r="AP826" s="65">
        <f>R826*7</f>
        <v>15694.659694122613</v>
      </c>
      <c r="AQ826" s="65">
        <f t="shared" ref="AQ826:AZ826" si="992">X826*7</f>
        <v>0</v>
      </c>
      <c r="AR826" s="65">
        <f t="shared" si="992"/>
        <v>1180.6117721616206</v>
      </c>
      <c r="AS826" s="65">
        <f t="shared" si="992"/>
        <v>0</v>
      </c>
      <c r="AT826" s="65">
        <f t="shared" si="992"/>
        <v>7847.3298470613063</v>
      </c>
      <c r="AU826" s="65">
        <f t="shared" si="992"/>
        <v>1569.4659694122615</v>
      </c>
      <c r="AV826" s="65">
        <f t="shared" si="992"/>
        <v>11533.071045875939</v>
      </c>
      <c r="AW826" s="65">
        <f t="shared" si="992"/>
        <v>5871.6219773118546</v>
      </c>
      <c r="AX826" s="65">
        <f t="shared" si="992"/>
        <v>3723.2859716625585</v>
      </c>
      <c r="AY826" s="65">
        <f t="shared" si="992"/>
        <v>0</v>
      </c>
      <c r="AZ826" s="65">
        <f t="shared" si="992"/>
        <v>2165.8630377889203</v>
      </c>
      <c r="BB826" s="64"/>
      <c r="BC826" s="66"/>
      <c r="BD826" s="66"/>
      <c r="BE826" s="66"/>
    </row>
    <row r="827" spans="1:177" ht="21" customHeight="1" x14ac:dyDescent="0.2">
      <c r="B827" s="67">
        <v>9</v>
      </c>
      <c r="C827" s="73" t="s">
        <v>42</v>
      </c>
      <c r="D827" s="78">
        <v>17045</v>
      </c>
      <c r="E827" s="72" t="s">
        <v>1014</v>
      </c>
      <c r="F827" s="72" t="s">
        <v>1015</v>
      </c>
      <c r="G827" s="55">
        <v>37576</v>
      </c>
      <c r="H827" s="56" t="str">
        <f t="shared" si="976"/>
        <v>22 AÑOS</v>
      </c>
      <c r="I827" s="57">
        <v>5176.8608585828979</v>
      </c>
      <c r="J827" s="58"/>
      <c r="K827" s="58"/>
      <c r="L827" s="59"/>
      <c r="M827" s="60">
        <v>4.0000000000000002E-4</v>
      </c>
      <c r="N827" s="61">
        <f t="shared" si="977"/>
        <v>207.07443434331591</v>
      </c>
      <c r="O827" s="58">
        <f t="shared" si="978"/>
        <v>5383.9352929262141</v>
      </c>
      <c r="P827" s="61">
        <f t="shared" si="979"/>
        <v>10767.870585852428</v>
      </c>
      <c r="Q827" s="61">
        <f t="shared" si="980"/>
        <v>8075.9029393893215</v>
      </c>
      <c r="R827" s="61">
        <f t="shared" si="981"/>
        <v>2691.967646463107</v>
      </c>
      <c r="S827" s="61">
        <f t="shared" si="982"/>
        <v>358.92901952841424</v>
      </c>
      <c r="T827" s="58">
        <f t="shared" si="983"/>
        <v>412.01462151666669</v>
      </c>
      <c r="U827" s="61">
        <f t="shared" si="984"/>
        <v>4037.9514696946608</v>
      </c>
      <c r="V827" s="58">
        <f t="shared" si="985"/>
        <v>1345.9838232315535</v>
      </c>
      <c r="W827" s="62">
        <v>0</v>
      </c>
      <c r="X827" s="63">
        <f t="shared" si="986"/>
        <v>0</v>
      </c>
      <c r="Y827" s="61">
        <v>565.69750380555809</v>
      </c>
      <c r="Z827" s="61">
        <v>0</v>
      </c>
      <c r="AA827" s="61">
        <f t="shared" si="987"/>
        <v>1345.9838232315535</v>
      </c>
      <c r="AB827" s="61">
        <f t="shared" si="988"/>
        <v>269.19676464631067</v>
      </c>
      <c r="AC827" s="61">
        <v>1868.1308780037443</v>
      </c>
      <c r="AD827" s="61">
        <v>1022.4348840246844</v>
      </c>
      <c r="AE827" s="61">
        <v>638.62266335083348</v>
      </c>
      <c r="AF827" s="61">
        <v>0</v>
      </c>
      <c r="AG827" s="61">
        <f t="shared" si="989"/>
        <v>371.4915352119088</v>
      </c>
      <c r="AH827" s="64"/>
      <c r="AI827" s="64"/>
      <c r="AJ827" s="67">
        <v>9</v>
      </c>
      <c r="AK827" s="73" t="s">
        <v>42</v>
      </c>
      <c r="AL827" s="78">
        <v>17045</v>
      </c>
      <c r="AM827" s="72" t="s">
        <v>1014</v>
      </c>
      <c r="AN827" s="72" t="s">
        <v>1015</v>
      </c>
      <c r="AO827" s="65">
        <f t="shared" ref="AO827:AO836" si="993">Q827*12</f>
        <v>96910.835272671859</v>
      </c>
      <c r="AP827" s="65">
        <f t="shared" ref="AP827:AP836" si="994">R827*12</f>
        <v>32303.611757557286</v>
      </c>
      <c r="AQ827" s="65">
        <f t="shared" ref="AQ827:AQ836" si="995">X827*12</f>
        <v>0</v>
      </c>
      <c r="AR827" s="65">
        <f t="shared" ref="AR827:AR836" si="996">Y827*12</f>
        <v>6788.3700456666975</v>
      </c>
      <c r="AS827" s="65">
        <f t="shared" ref="AS827:AS836" si="997">Z827*12</f>
        <v>0</v>
      </c>
      <c r="AT827" s="65">
        <f t="shared" ref="AT827:AT836" si="998">AA827*12</f>
        <v>16151.805878778643</v>
      </c>
      <c r="AU827" s="65">
        <f t="shared" ref="AU827:AU836" si="999">AB827*12</f>
        <v>3230.3611757557283</v>
      </c>
      <c r="AV827" s="65">
        <f t="shared" ref="AV827:AV836" si="1000">AC827*12</f>
        <v>22417.570536044932</v>
      </c>
      <c r="AW827" s="65">
        <f t="shared" ref="AW827:AW836" si="1001">AD827*12</f>
        <v>12269.218608296213</v>
      </c>
      <c r="AX827" s="65">
        <f t="shared" ref="AX827:AX836" si="1002">AE827*12</f>
        <v>7663.4719602100013</v>
      </c>
      <c r="AY827" s="65">
        <f t="shared" ref="AY827:AY836" si="1003">AF827*12</f>
        <v>0</v>
      </c>
      <c r="AZ827" s="65">
        <f t="shared" ref="AZ827:AZ836" si="1004">AG827*12</f>
        <v>4457.8984225429058</v>
      </c>
      <c r="BB827" s="64"/>
      <c r="BC827" s="66"/>
      <c r="BD827" s="66"/>
      <c r="BE827" s="66"/>
    </row>
    <row r="828" spans="1:177" ht="21" customHeight="1" x14ac:dyDescent="0.2">
      <c r="B828" s="67">
        <v>10</v>
      </c>
      <c r="C828" s="73" t="s">
        <v>42</v>
      </c>
      <c r="D828" s="78">
        <v>17046</v>
      </c>
      <c r="E828" s="72" t="s">
        <v>1016</v>
      </c>
      <c r="F828" s="72" t="s">
        <v>1015</v>
      </c>
      <c r="G828" s="55">
        <v>37622</v>
      </c>
      <c r="H828" s="56" t="str">
        <f t="shared" si="976"/>
        <v>21 AÑOS</v>
      </c>
      <c r="I828" s="57">
        <v>5176.8608585828979</v>
      </c>
      <c r="J828" s="58"/>
      <c r="K828" s="58"/>
      <c r="L828" s="59"/>
      <c r="M828" s="60">
        <v>4.0000000000000002E-4</v>
      </c>
      <c r="N828" s="61">
        <f t="shared" si="977"/>
        <v>207.07443434331591</v>
      </c>
      <c r="O828" s="58">
        <f t="shared" si="978"/>
        <v>5383.9352929262141</v>
      </c>
      <c r="P828" s="61">
        <f t="shared" si="979"/>
        <v>10767.870585852428</v>
      </c>
      <c r="Q828" s="61">
        <f t="shared" si="980"/>
        <v>8075.9029393893215</v>
      </c>
      <c r="R828" s="61">
        <f t="shared" si="981"/>
        <v>2691.967646463107</v>
      </c>
      <c r="S828" s="61">
        <f t="shared" si="982"/>
        <v>358.92901952841424</v>
      </c>
      <c r="T828" s="58">
        <f t="shared" si="983"/>
        <v>412.01462151666669</v>
      </c>
      <c r="U828" s="61">
        <f t="shared" si="984"/>
        <v>4037.9514696946608</v>
      </c>
      <c r="V828" s="58">
        <f t="shared" si="985"/>
        <v>1345.9838232315535</v>
      </c>
      <c r="W828" s="62">
        <v>0</v>
      </c>
      <c r="X828" s="63">
        <f t="shared" si="986"/>
        <v>0</v>
      </c>
      <c r="Y828" s="61">
        <v>565.69750380555809</v>
      </c>
      <c r="Z828" s="61">
        <v>0</v>
      </c>
      <c r="AA828" s="61">
        <f t="shared" si="987"/>
        <v>1345.9838232315535</v>
      </c>
      <c r="AB828" s="61">
        <f t="shared" si="988"/>
        <v>269.19676464631067</v>
      </c>
      <c r="AC828" s="61">
        <v>1868.1308780037443</v>
      </c>
      <c r="AD828" s="61">
        <v>1022.4348840246844</v>
      </c>
      <c r="AE828" s="61">
        <v>638.62266335083348</v>
      </c>
      <c r="AF828" s="61">
        <v>0</v>
      </c>
      <c r="AG828" s="61">
        <f t="shared" si="989"/>
        <v>371.4915352119088</v>
      </c>
      <c r="AH828" s="64"/>
      <c r="AI828" s="64"/>
      <c r="AJ828" s="67">
        <v>10</v>
      </c>
      <c r="AK828" s="73" t="s">
        <v>42</v>
      </c>
      <c r="AL828" s="78">
        <v>17046</v>
      </c>
      <c r="AM828" s="72" t="s">
        <v>1016</v>
      </c>
      <c r="AN828" s="72" t="s">
        <v>1015</v>
      </c>
      <c r="AO828" s="65">
        <f t="shared" si="993"/>
        <v>96910.835272671859</v>
      </c>
      <c r="AP828" s="65">
        <f t="shared" si="994"/>
        <v>32303.611757557286</v>
      </c>
      <c r="AQ828" s="65">
        <f t="shared" si="995"/>
        <v>0</v>
      </c>
      <c r="AR828" s="65">
        <f t="shared" si="996"/>
        <v>6788.3700456666975</v>
      </c>
      <c r="AS828" s="65">
        <f t="shared" si="997"/>
        <v>0</v>
      </c>
      <c r="AT828" s="65">
        <f t="shared" si="998"/>
        <v>16151.805878778643</v>
      </c>
      <c r="AU828" s="65">
        <f t="shared" si="999"/>
        <v>3230.3611757557283</v>
      </c>
      <c r="AV828" s="65">
        <f t="shared" si="1000"/>
        <v>22417.570536044932</v>
      </c>
      <c r="AW828" s="65">
        <f t="shared" si="1001"/>
        <v>12269.218608296213</v>
      </c>
      <c r="AX828" s="65">
        <f t="shared" si="1002"/>
        <v>7663.4719602100013</v>
      </c>
      <c r="AY828" s="65">
        <f t="shared" si="1003"/>
        <v>0</v>
      </c>
      <c r="AZ828" s="65">
        <f t="shared" si="1004"/>
        <v>4457.8984225429058</v>
      </c>
      <c r="BB828" s="64"/>
      <c r="BC828" s="66"/>
      <c r="BD828" s="66"/>
      <c r="BE828" s="66"/>
    </row>
    <row r="829" spans="1:177" ht="21" customHeight="1" x14ac:dyDescent="0.2">
      <c r="B829" s="67">
        <v>11</v>
      </c>
      <c r="C829" s="73" t="s">
        <v>42</v>
      </c>
      <c r="D829" s="67">
        <v>17019</v>
      </c>
      <c r="E829" s="72" t="s">
        <v>1017</v>
      </c>
      <c r="F829" s="72" t="s">
        <v>1015</v>
      </c>
      <c r="G829" s="55">
        <v>36914</v>
      </c>
      <c r="H829" s="56" t="str">
        <f t="shared" si="976"/>
        <v>23 AÑOS</v>
      </c>
      <c r="I829" s="57">
        <v>5176.8608585828979</v>
      </c>
      <c r="J829" s="58"/>
      <c r="K829" s="58"/>
      <c r="L829" s="59"/>
      <c r="M829" s="60">
        <v>4.0000000000000002E-4</v>
      </c>
      <c r="N829" s="61">
        <f t="shared" si="977"/>
        <v>207.07443434331591</v>
      </c>
      <c r="O829" s="58">
        <f t="shared" si="978"/>
        <v>5383.9352929262141</v>
      </c>
      <c r="P829" s="61">
        <f t="shared" si="979"/>
        <v>10767.870585852428</v>
      </c>
      <c r="Q829" s="61">
        <f t="shared" si="980"/>
        <v>8075.9029393893215</v>
      </c>
      <c r="R829" s="61">
        <f t="shared" si="981"/>
        <v>2691.967646463107</v>
      </c>
      <c r="S829" s="61">
        <f t="shared" si="982"/>
        <v>358.92901952841424</v>
      </c>
      <c r="T829" s="58">
        <f t="shared" si="983"/>
        <v>412.01462151666669</v>
      </c>
      <c r="U829" s="61">
        <f t="shared" si="984"/>
        <v>4037.9514696946608</v>
      </c>
      <c r="V829" s="58">
        <f t="shared" si="985"/>
        <v>1345.9838232315535</v>
      </c>
      <c r="W829" s="62">
        <v>0</v>
      </c>
      <c r="X829" s="63">
        <f t="shared" si="986"/>
        <v>0</v>
      </c>
      <c r="Y829" s="61">
        <v>565.69750380555809</v>
      </c>
      <c r="Z829" s="61">
        <v>0</v>
      </c>
      <c r="AA829" s="61">
        <f t="shared" si="987"/>
        <v>1345.9838232315535</v>
      </c>
      <c r="AB829" s="61">
        <f t="shared" si="988"/>
        <v>269.19676464631067</v>
      </c>
      <c r="AC829" s="61">
        <v>1868.1308780037443</v>
      </c>
      <c r="AD829" s="61">
        <v>1022.4348840246844</v>
      </c>
      <c r="AE829" s="61">
        <v>638.62266335083348</v>
      </c>
      <c r="AF829" s="61">
        <v>0</v>
      </c>
      <c r="AG829" s="61">
        <f t="shared" si="989"/>
        <v>371.4915352119088</v>
      </c>
      <c r="AH829" s="64"/>
      <c r="AI829" s="64"/>
      <c r="AJ829" s="67">
        <v>11</v>
      </c>
      <c r="AK829" s="73" t="s">
        <v>42</v>
      </c>
      <c r="AL829" s="67">
        <v>17019</v>
      </c>
      <c r="AM829" s="72" t="s">
        <v>1017</v>
      </c>
      <c r="AN829" s="72" t="s">
        <v>1015</v>
      </c>
      <c r="AO829" s="65">
        <f t="shared" si="993"/>
        <v>96910.835272671859</v>
      </c>
      <c r="AP829" s="65">
        <f t="shared" si="994"/>
        <v>32303.611757557286</v>
      </c>
      <c r="AQ829" s="65">
        <f t="shared" si="995"/>
        <v>0</v>
      </c>
      <c r="AR829" s="65">
        <f t="shared" si="996"/>
        <v>6788.3700456666975</v>
      </c>
      <c r="AS829" s="65">
        <f t="shared" si="997"/>
        <v>0</v>
      </c>
      <c r="AT829" s="65">
        <f t="shared" si="998"/>
        <v>16151.805878778643</v>
      </c>
      <c r="AU829" s="65">
        <f t="shared" si="999"/>
        <v>3230.3611757557283</v>
      </c>
      <c r="AV829" s="65">
        <f t="shared" si="1000"/>
        <v>22417.570536044932</v>
      </c>
      <c r="AW829" s="65">
        <f t="shared" si="1001"/>
        <v>12269.218608296213</v>
      </c>
      <c r="AX829" s="65">
        <f t="shared" si="1002"/>
        <v>7663.4719602100013</v>
      </c>
      <c r="AY829" s="65">
        <f t="shared" si="1003"/>
        <v>0</v>
      </c>
      <c r="AZ829" s="65">
        <f t="shared" si="1004"/>
        <v>4457.8984225429058</v>
      </c>
      <c r="BB829" s="64"/>
      <c r="BC829" s="66"/>
      <c r="BD829" s="66"/>
      <c r="BE829" s="66"/>
    </row>
    <row r="830" spans="1:177" ht="21" customHeight="1" x14ac:dyDescent="0.2">
      <c r="B830" s="51">
        <v>12</v>
      </c>
      <c r="C830" s="73" t="s">
        <v>42</v>
      </c>
      <c r="D830" s="67">
        <v>17111</v>
      </c>
      <c r="E830" s="73" t="s">
        <v>1018</v>
      </c>
      <c r="F830" s="72" t="s">
        <v>1015</v>
      </c>
      <c r="G830" s="55">
        <v>43070</v>
      </c>
      <c r="H830" s="56" t="str">
        <f t="shared" si="976"/>
        <v>7 AÑOS</v>
      </c>
      <c r="I830" s="57">
        <v>5176.7897753020998</v>
      </c>
      <c r="J830" s="58"/>
      <c r="K830" s="58"/>
      <c r="L830" s="59"/>
      <c r="M830" s="60">
        <v>4.0000000000000002E-4</v>
      </c>
      <c r="N830" s="61">
        <f t="shared" si="977"/>
        <v>207.07159101208399</v>
      </c>
      <c r="O830" s="58">
        <f t="shared" si="978"/>
        <v>5383.8613663141841</v>
      </c>
      <c r="P830" s="61">
        <f t="shared" si="979"/>
        <v>10767.722732628368</v>
      </c>
      <c r="Q830" s="61">
        <f t="shared" si="980"/>
        <v>8075.7920494712762</v>
      </c>
      <c r="R830" s="61">
        <f t="shared" si="981"/>
        <v>2691.9306831570921</v>
      </c>
      <c r="S830" s="61">
        <f t="shared" si="982"/>
        <v>358.92409108761228</v>
      </c>
      <c r="T830" s="58">
        <f t="shared" si="983"/>
        <v>412.00896415947011</v>
      </c>
      <c r="U830" s="61">
        <f t="shared" si="984"/>
        <v>4037.8960247356381</v>
      </c>
      <c r="V830" s="58">
        <f t="shared" si="985"/>
        <v>1345.965341578546</v>
      </c>
      <c r="W830" s="62">
        <v>0</v>
      </c>
      <c r="X830" s="63">
        <f t="shared" si="986"/>
        <v>0</v>
      </c>
      <c r="Y830" s="61">
        <v>565.68543898247481</v>
      </c>
      <c r="Z830" s="61">
        <v>0</v>
      </c>
      <c r="AA830" s="61">
        <f t="shared" si="987"/>
        <v>1345.965341578546</v>
      </c>
      <c r="AB830" s="61">
        <f t="shared" si="988"/>
        <v>269.19306831570924</v>
      </c>
      <c r="AC830" s="61">
        <v>1868.1127568363504</v>
      </c>
      <c r="AD830" s="61">
        <v>1022.4208450099331</v>
      </c>
      <c r="AE830" s="61">
        <v>638.61389444717872</v>
      </c>
      <c r="AF830" s="61">
        <v>0</v>
      </c>
      <c r="AG830" s="61">
        <f t="shared" si="989"/>
        <v>371.48643427567873</v>
      </c>
      <c r="AH830" s="64"/>
      <c r="AI830" s="64"/>
      <c r="AJ830" s="51">
        <v>12</v>
      </c>
      <c r="AK830" s="73" t="s">
        <v>42</v>
      </c>
      <c r="AL830" s="67">
        <v>17111</v>
      </c>
      <c r="AM830" s="73" t="s">
        <v>1018</v>
      </c>
      <c r="AN830" s="72" t="s">
        <v>1015</v>
      </c>
      <c r="AO830" s="65">
        <f t="shared" si="993"/>
        <v>96909.504593655322</v>
      </c>
      <c r="AP830" s="65">
        <f t="shared" si="994"/>
        <v>32303.168197885105</v>
      </c>
      <c r="AQ830" s="65">
        <f t="shared" si="995"/>
        <v>0</v>
      </c>
      <c r="AR830" s="65">
        <f t="shared" si="996"/>
        <v>6788.2252677896977</v>
      </c>
      <c r="AS830" s="65">
        <f t="shared" si="997"/>
        <v>0</v>
      </c>
      <c r="AT830" s="65">
        <f t="shared" si="998"/>
        <v>16151.584098942552</v>
      </c>
      <c r="AU830" s="65">
        <f t="shared" si="999"/>
        <v>3230.3168197885107</v>
      </c>
      <c r="AV830" s="65">
        <f t="shared" si="1000"/>
        <v>22417.353082036207</v>
      </c>
      <c r="AW830" s="65">
        <f t="shared" si="1001"/>
        <v>12269.050140119198</v>
      </c>
      <c r="AX830" s="65">
        <f t="shared" si="1002"/>
        <v>7663.3667333661451</v>
      </c>
      <c r="AY830" s="65">
        <f t="shared" si="1003"/>
        <v>0</v>
      </c>
      <c r="AZ830" s="65">
        <f t="shared" si="1004"/>
        <v>4457.837211308145</v>
      </c>
      <c r="BB830" s="64"/>
      <c r="BC830" s="66"/>
      <c r="BD830" s="66"/>
      <c r="BE830" s="66"/>
    </row>
    <row r="831" spans="1:177" ht="21" customHeight="1" x14ac:dyDescent="0.2">
      <c r="B831" s="67">
        <v>13</v>
      </c>
      <c r="C831" s="73" t="s">
        <v>42</v>
      </c>
      <c r="D831" s="67">
        <v>17115</v>
      </c>
      <c r="E831" s="72" t="s">
        <v>1019</v>
      </c>
      <c r="F831" s="72" t="s">
        <v>1015</v>
      </c>
      <c r="G831" s="55">
        <v>40330</v>
      </c>
      <c r="H831" s="56" t="str">
        <f t="shared" si="976"/>
        <v>14 AÑOS</v>
      </c>
      <c r="I831" s="57">
        <v>5176.8608585828979</v>
      </c>
      <c r="J831" s="58"/>
      <c r="K831" s="58"/>
      <c r="L831" s="59"/>
      <c r="M831" s="60">
        <v>4.0000000000000002E-4</v>
      </c>
      <c r="N831" s="61">
        <f t="shared" si="977"/>
        <v>207.07443434331591</v>
      </c>
      <c r="O831" s="58">
        <f t="shared" si="978"/>
        <v>5383.9352929262141</v>
      </c>
      <c r="P831" s="61">
        <f t="shared" si="979"/>
        <v>10767.870585852428</v>
      </c>
      <c r="Q831" s="61">
        <f t="shared" si="980"/>
        <v>8075.9029393893215</v>
      </c>
      <c r="R831" s="61">
        <f t="shared" si="981"/>
        <v>2691.967646463107</v>
      </c>
      <c r="S831" s="61">
        <f t="shared" si="982"/>
        <v>358.92901952841424</v>
      </c>
      <c r="T831" s="58">
        <f t="shared" si="983"/>
        <v>412.01462151666669</v>
      </c>
      <c r="U831" s="61">
        <f t="shared" si="984"/>
        <v>4037.9514696946608</v>
      </c>
      <c r="V831" s="58">
        <f t="shared" si="985"/>
        <v>1345.9838232315535</v>
      </c>
      <c r="W831" s="62">
        <v>0</v>
      </c>
      <c r="X831" s="63">
        <f t="shared" si="986"/>
        <v>0</v>
      </c>
      <c r="Y831" s="61">
        <v>565.69750380555809</v>
      </c>
      <c r="Z831" s="61">
        <v>0</v>
      </c>
      <c r="AA831" s="61">
        <f t="shared" si="987"/>
        <v>1345.9838232315535</v>
      </c>
      <c r="AB831" s="61">
        <f t="shared" si="988"/>
        <v>269.19676464631067</v>
      </c>
      <c r="AC831" s="61">
        <v>1868.1308780037443</v>
      </c>
      <c r="AD831" s="61">
        <v>1022.4348840246844</v>
      </c>
      <c r="AE831" s="61">
        <v>638.62266335083348</v>
      </c>
      <c r="AF831" s="61">
        <v>0</v>
      </c>
      <c r="AG831" s="61">
        <f t="shared" si="989"/>
        <v>371.4915352119088</v>
      </c>
      <c r="AH831" s="64"/>
      <c r="AI831" s="64"/>
      <c r="AJ831" s="67">
        <v>13</v>
      </c>
      <c r="AK831" s="73" t="s">
        <v>42</v>
      </c>
      <c r="AL831" s="67">
        <v>17115</v>
      </c>
      <c r="AM831" s="72" t="s">
        <v>1019</v>
      </c>
      <c r="AN831" s="72" t="s">
        <v>1015</v>
      </c>
      <c r="AO831" s="65">
        <f t="shared" si="993"/>
        <v>96910.835272671859</v>
      </c>
      <c r="AP831" s="65">
        <f t="shared" si="994"/>
        <v>32303.611757557286</v>
      </c>
      <c r="AQ831" s="65">
        <f t="shared" si="995"/>
        <v>0</v>
      </c>
      <c r="AR831" s="65">
        <f t="shared" si="996"/>
        <v>6788.3700456666975</v>
      </c>
      <c r="AS831" s="65">
        <f t="shared" si="997"/>
        <v>0</v>
      </c>
      <c r="AT831" s="65">
        <f t="shared" si="998"/>
        <v>16151.805878778643</v>
      </c>
      <c r="AU831" s="65">
        <f t="shared" si="999"/>
        <v>3230.3611757557283</v>
      </c>
      <c r="AV831" s="65">
        <f t="shared" si="1000"/>
        <v>22417.570536044932</v>
      </c>
      <c r="AW831" s="65">
        <f t="shared" si="1001"/>
        <v>12269.218608296213</v>
      </c>
      <c r="AX831" s="65">
        <f t="shared" si="1002"/>
        <v>7663.4719602100013</v>
      </c>
      <c r="AY831" s="65">
        <f t="shared" si="1003"/>
        <v>0</v>
      </c>
      <c r="AZ831" s="65">
        <f t="shared" si="1004"/>
        <v>4457.8984225429058</v>
      </c>
      <c r="BB831" s="64"/>
      <c r="BC831" s="66"/>
      <c r="BD831" s="66"/>
      <c r="BE831" s="66"/>
    </row>
    <row r="832" spans="1:177" ht="21" customHeight="1" x14ac:dyDescent="0.2">
      <c r="B832" s="67">
        <v>14</v>
      </c>
      <c r="C832" s="73" t="s">
        <v>42</v>
      </c>
      <c r="D832" s="67">
        <v>17167</v>
      </c>
      <c r="E832" s="72" t="s">
        <v>1020</v>
      </c>
      <c r="F832" s="72" t="s">
        <v>1015</v>
      </c>
      <c r="G832" s="169">
        <v>44851</v>
      </c>
      <c r="H832" s="56" t="str">
        <f t="shared" si="976"/>
        <v>2 AÑOS</v>
      </c>
      <c r="I832" s="57">
        <v>5176.8608585828979</v>
      </c>
      <c r="J832" s="58"/>
      <c r="K832" s="58"/>
      <c r="L832" s="59"/>
      <c r="M832" s="60">
        <v>4.0000000000000002E-4</v>
      </c>
      <c r="N832" s="61">
        <f t="shared" si="977"/>
        <v>207.07443434331591</v>
      </c>
      <c r="O832" s="58">
        <f t="shared" si="978"/>
        <v>5383.9352929262141</v>
      </c>
      <c r="P832" s="61">
        <f t="shared" si="979"/>
        <v>10767.870585852428</v>
      </c>
      <c r="Q832" s="61">
        <f t="shared" si="980"/>
        <v>8075.9029393893215</v>
      </c>
      <c r="R832" s="61">
        <f t="shared" si="981"/>
        <v>2691.967646463107</v>
      </c>
      <c r="S832" s="61">
        <f t="shared" si="982"/>
        <v>358.92901952841424</v>
      </c>
      <c r="T832" s="58">
        <f t="shared" si="983"/>
        <v>412.01462151666669</v>
      </c>
      <c r="U832" s="61">
        <f t="shared" si="984"/>
        <v>4037.9514696946608</v>
      </c>
      <c r="V832" s="58">
        <f t="shared" si="985"/>
        <v>1345.9838232315535</v>
      </c>
      <c r="W832" s="62">
        <v>0</v>
      </c>
      <c r="X832" s="63">
        <f t="shared" si="986"/>
        <v>0</v>
      </c>
      <c r="Y832" s="61">
        <v>565.69750380555809</v>
      </c>
      <c r="Z832" s="61">
        <v>0</v>
      </c>
      <c r="AA832" s="61">
        <f t="shared" si="987"/>
        <v>1345.9838232315535</v>
      </c>
      <c r="AB832" s="61">
        <f t="shared" si="988"/>
        <v>269.19676464631067</v>
      </c>
      <c r="AC832" s="61">
        <v>1868.1308780037443</v>
      </c>
      <c r="AD832" s="61">
        <v>1022.4348840246844</v>
      </c>
      <c r="AE832" s="61">
        <v>638.62266335083348</v>
      </c>
      <c r="AF832" s="61">
        <v>0</v>
      </c>
      <c r="AG832" s="61">
        <f t="shared" si="989"/>
        <v>371.4915352119088</v>
      </c>
      <c r="AH832" s="64"/>
      <c r="AI832" s="64"/>
      <c r="AJ832" s="67">
        <v>14</v>
      </c>
      <c r="AK832" s="73" t="s">
        <v>42</v>
      </c>
      <c r="AL832" s="67">
        <v>17167</v>
      </c>
      <c r="AM832" s="72" t="s">
        <v>1020</v>
      </c>
      <c r="AN832" s="72" t="s">
        <v>1015</v>
      </c>
      <c r="AO832" s="65">
        <f t="shared" si="993"/>
        <v>96910.835272671859</v>
      </c>
      <c r="AP832" s="65">
        <f t="shared" si="994"/>
        <v>32303.611757557286</v>
      </c>
      <c r="AQ832" s="65">
        <f t="shared" si="995"/>
        <v>0</v>
      </c>
      <c r="AR832" s="65">
        <f t="shared" si="996"/>
        <v>6788.3700456666975</v>
      </c>
      <c r="AS832" s="65">
        <f t="shared" si="997"/>
        <v>0</v>
      </c>
      <c r="AT832" s="65">
        <f t="shared" si="998"/>
        <v>16151.805878778643</v>
      </c>
      <c r="AU832" s="65">
        <f t="shared" si="999"/>
        <v>3230.3611757557283</v>
      </c>
      <c r="AV832" s="65">
        <f t="shared" si="1000"/>
        <v>22417.570536044932</v>
      </c>
      <c r="AW832" s="65">
        <f t="shared" si="1001"/>
        <v>12269.218608296213</v>
      </c>
      <c r="AX832" s="65">
        <f t="shared" si="1002"/>
        <v>7663.4719602100013</v>
      </c>
      <c r="AY832" s="65">
        <f t="shared" si="1003"/>
        <v>0</v>
      </c>
      <c r="AZ832" s="65">
        <f t="shared" si="1004"/>
        <v>4457.8984225429058</v>
      </c>
      <c r="BB832" s="64"/>
      <c r="BC832" s="66"/>
      <c r="BD832" s="66"/>
      <c r="BE832" s="66"/>
    </row>
    <row r="833" spans="2:57" ht="21" customHeight="1" x14ac:dyDescent="0.2">
      <c r="B833" s="67">
        <v>15</v>
      </c>
      <c r="C833" s="73" t="s">
        <v>42</v>
      </c>
      <c r="D833" s="67">
        <v>17136</v>
      </c>
      <c r="E833" s="72" t="s">
        <v>1021</v>
      </c>
      <c r="F833" s="72" t="s">
        <v>1015</v>
      </c>
      <c r="G833" s="55">
        <v>41689</v>
      </c>
      <c r="H833" s="56" t="str">
        <f t="shared" si="976"/>
        <v>10 AÑOS</v>
      </c>
      <c r="I833" s="57">
        <v>5176.8608585828979</v>
      </c>
      <c r="J833" s="58"/>
      <c r="K833" s="58"/>
      <c r="L833" s="59"/>
      <c r="M833" s="60">
        <v>4.0000000000000002E-4</v>
      </c>
      <c r="N833" s="61">
        <f t="shared" si="977"/>
        <v>207.07443434331591</v>
      </c>
      <c r="O833" s="58">
        <f t="shared" si="978"/>
        <v>5383.9352929262141</v>
      </c>
      <c r="P833" s="61">
        <f>O833*2</f>
        <v>10767.870585852428</v>
      </c>
      <c r="Q833" s="61">
        <f>P833*0.75</f>
        <v>8075.9029393893215</v>
      </c>
      <c r="R833" s="61">
        <f>P833*0.25</f>
        <v>2691.967646463107</v>
      </c>
      <c r="S833" s="61">
        <f>(P833/30)</f>
        <v>358.92901952841424</v>
      </c>
      <c r="T833" s="58">
        <f t="shared" si="983"/>
        <v>412.01462151666669</v>
      </c>
      <c r="U833" s="61">
        <f>O833*0.75</f>
        <v>4037.9514696946608</v>
      </c>
      <c r="V833" s="58">
        <f>O833*0.25</f>
        <v>1345.9838232315535</v>
      </c>
      <c r="W833" s="62">
        <v>0</v>
      </c>
      <c r="X833" s="63">
        <f t="shared" si="986"/>
        <v>0</v>
      </c>
      <c r="Y833" s="61">
        <v>565.69750380555809</v>
      </c>
      <c r="Z833" s="61">
        <v>0</v>
      </c>
      <c r="AA833" s="61">
        <f t="shared" si="987"/>
        <v>1345.9838232315535</v>
      </c>
      <c r="AB833" s="61">
        <f t="shared" si="988"/>
        <v>269.19676464631067</v>
      </c>
      <c r="AC833" s="61">
        <v>1868.1308780037443</v>
      </c>
      <c r="AD833" s="61">
        <v>1022.4348840246844</v>
      </c>
      <c r="AE833" s="61">
        <v>638.62266335083348</v>
      </c>
      <c r="AF833" s="61">
        <v>0</v>
      </c>
      <c r="AG833" s="61">
        <f t="shared" si="989"/>
        <v>371.4915352119088</v>
      </c>
      <c r="AH833" s="64"/>
      <c r="AI833" s="64"/>
      <c r="AJ833" s="67">
        <v>15</v>
      </c>
      <c r="AK833" s="73" t="s">
        <v>42</v>
      </c>
      <c r="AL833" s="67">
        <v>17136</v>
      </c>
      <c r="AM833" s="72" t="s">
        <v>1021</v>
      </c>
      <c r="AN833" s="72" t="s">
        <v>1015</v>
      </c>
      <c r="AO833" s="65">
        <f t="shared" si="993"/>
        <v>96910.835272671859</v>
      </c>
      <c r="AP833" s="65">
        <f t="shared" si="994"/>
        <v>32303.611757557286</v>
      </c>
      <c r="AQ833" s="65">
        <f t="shared" si="995"/>
        <v>0</v>
      </c>
      <c r="AR833" s="65">
        <f t="shared" si="996"/>
        <v>6788.3700456666975</v>
      </c>
      <c r="AS833" s="65">
        <f t="shared" si="997"/>
        <v>0</v>
      </c>
      <c r="AT833" s="65">
        <f t="shared" si="998"/>
        <v>16151.805878778643</v>
      </c>
      <c r="AU833" s="65">
        <f t="shared" si="999"/>
        <v>3230.3611757557283</v>
      </c>
      <c r="AV833" s="65">
        <f t="shared" si="1000"/>
        <v>22417.570536044932</v>
      </c>
      <c r="AW833" s="65">
        <f t="shared" si="1001"/>
        <v>12269.218608296213</v>
      </c>
      <c r="AX833" s="65">
        <f t="shared" si="1002"/>
        <v>7663.4719602100013</v>
      </c>
      <c r="AY833" s="65">
        <f t="shared" si="1003"/>
        <v>0</v>
      </c>
      <c r="AZ833" s="65">
        <f t="shared" si="1004"/>
        <v>4457.8984225429058</v>
      </c>
      <c r="BB833" s="64"/>
      <c r="BC833" s="66"/>
      <c r="BD833" s="66"/>
      <c r="BE833" s="66"/>
    </row>
    <row r="834" spans="2:57" ht="21" customHeight="1" x14ac:dyDescent="0.2">
      <c r="B834" s="67">
        <v>16</v>
      </c>
      <c r="C834" s="73" t="s">
        <v>42</v>
      </c>
      <c r="D834" s="67">
        <v>16446</v>
      </c>
      <c r="E834" s="72" t="s">
        <v>1022</v>
      </c>
      <c r="F834" s="72" t="s">
        <v>1023</v>
      </c>
      <c r="G834" s="169">
        <v>42552</v>
      </c>
      <c r="H834" s="56" t="str">
        <f t="shared" si="976"/>
        <v>8 AÑOS</v>
      </c>
      <c r="I834" s="57">
        <v>7062.1942809599996</v>
      </c>
      <c r="J834" s="58"/>
      <c r="K834" s="58"/>
      <c r="L834" s="59"/>
      <c r="M834" s="60">
        <v>4.0000000000000002E-4</v>
      </c>
      <c r="N834" s="61">
        <f t="shared" si="977"/>
        <v>282.4877712384</v>
      </c>
      <c r="O834" s="58">
        <f t="shared" si="978"/>
        <v>7344.6820521983991</v>
      </c>
      <c r="P834" s="61">
        <f t="shared" si="979"/>
        <v>14689.364104396798</v>
      </c>
      <c r="Q834" s="61">
        <f t="shared" si="980"/>
        <v>11017.0230782976</v>
      </c>
      <c r="R834" s="61">
        <f t="shared" si="981"/>
        <v>3672.3410260991996</v>
      </c>
      <c r="S834" s="61">
        <f t="shared" si="982"/>
        <v>489.64547014655994</v>
      </c>
      <c r="T834" s="58">
        <f t="shared" si="983"/>
        <v>562.06403518123614</v>
      </c>
      <c r="U834" s="61">
        <f t="shared" si="984"/>
        <v>5508.5115391487998</v>
      </c>
      <c r="V834" s="58">
        <f t="shared" si="985"/>
        <v>1836.1705130495998</v>
      </c>
      <c r="W834" s="62">
        <v>0</v>
      </c>
      <c r="X834" s="63">
        <f t="shared" si="986"/>
        <v>0</v>
      </c>
      <c r="Y834" s="61">
        <v>887.68049252761591</v>
      </c>
      <c r="Z834" s="61">
        <v>0</v>
      </c>
      <c r="AA834" s="61">
        <f t="shared" si="987"/>
        <v>1836.1705130496</v>
      </c>
      <c r="AB834" s="61">
        <f t="shared" si="988"/>
        <v>367.23410260991994</v>
      </c>
      <c r="AC834" s="61">
        <v>2348.7564506687554</v>
      </c>
      <c r="AD834" s="61">
        <v>1473.1979394117791</v>
      </c>
      <c r="AE834" s="61">
        <v>871.19925453091605</v>
      </c>
      <c r="AF834" s="61">
        <v>0</v>
      </c>
      <c r="AG834" s="61">
        <f t="shared" si="989"/>
        <v>506.78306160168955</v>
      </c>
      <c r="AH834" s="64"/>
      <c r="AI834" s="64"/>
      <c r="AJ834" s="67">
        <v>16</v>
      </c>
      <c r="AK834" s="73" t="s">
        <v>42</v>
      </c>
      <c r="AL834" s="67">
        <v>16446</v>
      </c>
      <c r="AM834" s="72" t="s">
        <v>1022</v>
      </c>
      <c r="AN834" s="72" t="s">
        <v>1023</v>
      </c>
      <c r="AO834" s="65">
        <f t="shared" si="993"/>
        <v>132204.27693957119</v>
      </c>
      <c r="AP834" s="65">
        <f t="shared" si="994"/>
        <v>44068.092313190398</v>
      </c>
      <c r="AQ834" s="65">
        <f t="shared" si="995"/>
        <v>0</v>
      </c>
      <c r="AR834" s="65">
        <f t="shared" si="996"/>
        <v>10652.16591033139</v>
      </c>
      <c r="AS834" s="65">
        <f t="shared" si="997"/>
        <v>0</v>
      </c>
      <c r="AT834" s="65">
        <f t="shared" si="998"/>
        <v>22034.046156595199</v>
      </c>
      <c r="AU834" s="65">
        <f t="shared" si="999"/>
        <v>4406.8092313190391</v>
      </c>
      <c r="AV834" s="65">
        <f t="shared" si="1000"/>
        <v>28185.077408025063</v>
      </c>
      <c r="AW834" s="65">
        <f t="shared" si="1001"/>
        <v>17678.37527294135</v>
      </c>
      <c r="AX834" s="65">
        <f t="shared" si="1002"/>
        <v>10454.391054370994</v>
      </c>
      <c r="AY834" s="65">
        <f t="shared" si="1003"/>
        <v>0</v>
      </c>
      <c r="AZ834" s="65">
        <f t="shared" si="1004"/>
        <v>6081.3967392202749</v>
      </c>
      <c r="BB834" s="64"/>
      <c r="BC834" s="66"/>
      <c r="BD834" s="66"/>
      <c r="BE834" s="66"/>
    </row>
    <row r="835" spans="2:57" ht="21" customHeight="1" x14ac:dyDescent="0.2">
      <c r="B835" s="51">
        <v>17</v>
      </c>
      <c r="C835" s="73" t="s">
        <v>42</v>
      </c>
      <c r="D835" s="67">
        <v>17164</v>
      </c>
      <c r="E835" s="72" t="s">
        <v>1024</v>
      </c>
      <c r="F835" s="72" t="s">
        <v>886</v>
      </c>
      <c r="G835" s="55">
        <v>44652</v>
      </c>
      <c r="H835" s="56" t="str">
        <f t="shared" si="976"/>
        <v>2 AÑOS</v>
      </c>
      <c r="I835" s="57">
        <v>4613.4201939281784</v>
      </c>
      <c r="J835" s="58"/>
      <c r="K835" s="58"/>
      <c r="L835" s="59"/>
      <c r="M835" s="60">
        <v>4.0000000000000002E-4</v>
      </c>
      <c r="N835" s="61">
        <f t="shared" si="977"/>
        <v>184.53680775712715</v>
      </c>
      <c r="O835" s="58">
        <f t="shared" si="978"/>
        <v>4797.9570016853058</v>
      </c>
      <c r="P835" s="61">
        <f t="shared" si="979"/>
        <v>9595.9140033706117</v>
      </c>
      <c r="Q835" s="61">
        <f t="shared" si="980"/>
        <v>7196.9355025279583</v>
      </c>
      <c r="R835" s="61">
        <f t="shared" si="981"/>
        <v>2398.9785008426529</v>
      </c>
      <c r="S835" s="61">
        <f t="shared" si="982"/>
        <v>319.86380011235372</v>
      </c>
      <c r="T835" s="58">
        <f t="shared" si="983"/>
        <v>367.17165614897078</v>
      </c>
      <c r="U835" s="61">
        <f t="shared" si="984"/>
        <v>3598.4677512639792</v>
      </c>
      <c r="V835" s="58">
        <f t="shared" si="985"/>
        <v>1199.4892504213265</v>
      </c>
      <c r="W835" s="62">
        <v>0</v>
      </c>
      <c r="X835" s="63">
        <f t="shared" si="986"/>
        <v>0</v>
      </c>
      <c r="Y835" s="61">
        <v>255.26584667504181</v>
      </c>
      <c r="Z835" s="61">
        <v>0</v>
      </c>
      <c r="AA835" s="61">
        <f t="shared" si="987"/>
        <v>1199.4892504213265</v>
      </c>
      <c r="AB835" s="61">
        <f t="shared" si="988"/>
        <v>239.89785008426529</v>
      </c>
      <c r="AC835" s="61">
        <v>1724.4936895371072</v>
      </c>
      <c r="AD835" s="61">
        <v>911.15482331647854</v>
      </c>
      <c r="AE835" s="61">
        <v>569.11606703090479</v>
      </c>
      <c r="AF835" s="61">
        <v>0</v>
      </c>
      <c r="AG835" s="61">
        <f t="shared" si="989"/>
        <v>331.05903311628612</v>
      </c>
      <c r="AH835" s="64"/>
      <c r="AI835" s="64"/>
      <c r="AJ835" s="51">
        <v>17</v>
      </c>
      <c r="AK835" s="73" t="s">
        <v>42</v>
      </c>
      <c r="AL835" s="67">
        <v>17164</v>
      </c>
      <c r="AM835" s="72" t="s">
        <v>1024</v>
      </c>
      <c r="AN835" s="72" t="s">
        <v>886</v>
      </c>
      <c r="AO835" s="65">
        <f t="shared" si="993"/>
        <v>86363.2260303355</v>
      </c>
      <c r="AP835" s="65">
        <f t="shared" si="994"/>
        <v>28787.742010111833</v>
      </c>
      <c r="AQ835" s="65">
        <f t="shared" si="995"/>
        <v>0</v>
      </c>
      <c r="AR835" s="65">
        <f t="shared" si="996"/>
        <v>3063.190160100502</v>
      </c>
      <c r="AS835" s="65">
        <f t="shared" si="997"/>
        <v>0</v>
      </c>
      <c r="AT835" s="65">
        <f t="shared" si="998"/>
        <v>14393.871005055917</v>
      </c>
      <c r="AU835" s="65">
        <f t="shared" si="999"/>
        <v>2878.7742010111833</v>
      </c>
      <c r="AV835" s="65">
        <f t="shared" si="1000"/>
        <v>20693.924274445286</v>
      </c>
      <c r="AW835" s="65">
        <f t="shared" si="1001"/>
        <v>10933.857879797742</v>
      </c>
      <c r="AX835" s="65">
        <f t="shared" si="1002"/>
        <v>6829.3928043708574</v>
      </c>
      <c r="AY835" s="65">
        <f t="shared" si="1003"/>
        <v>0</v>
      </c>
      <c r="AZ835" s="65">
        <f t="shared" si="1004"/>
        <v>3972.7083973954332</v>
      </c>
      <c r="BB835" s="64"/>
      <c r="BC835" s="66"/>
      <c r="BD835" s="66"/>
      <c r="BE835" s="66"/>
    </row>
    <row r="836" spans="2:57" ht="21" customHeight="1" x14ac:dyDescent="0.2">
      <c r="B836" s="67">
        <v>18</v>
      </c>
      <c r="C836" s="73" t="s">
        <v>42</v>
      </c>
      <c r="D836" s="67">
        <v>17166</v>
      </c>
      <c r="E836" s="72" t="s">
        <v>1025</v>
      </c>
      <c r="F836" s="72" t="s">
        <v>886</v>
      </c>
      <c r="G836" s="55">
        <v>44779</v>
      </c>
      <c r="H836" s="56" t="str">
        <f t="shared" si="976"/>
        <v>2 AÑOS</v>
      </c>
      <c r="I836" s="57">
        <v>4613.4201939281784</v>
      </c>
      <c r="J836" s="58"/>
      <c r="K836" s="58"/>
      <c r="L836" s="59"/>
      <c r="M836" s="60">
        <v>4.0000000000000002E-4</v>
      </c>
      <c r="N836" s="61">
        <f t="shared" si="977"/>
        <v>184.53680775712715</v>
      </c>
      <c r="O836" s="58">
        <f t="shared" si="978"/>
        <v>4797.9570016853058</v>
      </c>
      <c r="P836" s="61">
        <f t="shared" si="979"/>
        <v>9595.9140033706117</v>
      </c>
      <c r="Q836" s="61">
        <f t="shared" si="980"/>
        <v>7196.9355025279583</v>
      </c>
      <c r="R836" s="61">
        <f t="shared" si="981"/>
        <v>2398.9785008426529</v>
      </c>
      <c r="S836" s="61">
        <f t="shared" si="982"/>
        <v>319.86380011235372</v>
      </c>
      <c r="T836" s="58">
        <f t="shared" si="983"/>
        <v>367.17165614897078</v>
      </c>
      <c r="U836" s="61">
        <f t="shared" si="984"/>
        <v>3598.4677512639792</v>
      </c>
      <c r="V836" s="58">
        <f t="shared" si="985"/>
        <v>1199.4892504213265</v>
      </c>
      <c r="W836" s="62">
        <v>0</v>
      </c>
      <c r="X836" s="63">
        <f t="shared" si="986"/>
        <v>0</v>
      </c>
      <c r="Y836" s="61">
        <v>255.26584667504181</v>
      </c>
      <c r="Z836" s="61">
        <v>0</v>
      </c>
      <c r="AA836" s="61">
        <f t="shared" si="987"/>
        <v>1199.4892504213265</v>
      </c>
      <c r="AB836" s="61">
        <f t="shared" si="988"/>
        <v>239.89785008426529</v>
      </c>
      <c r="AC836" s="61">
        <v>1724.4936895371072</v>
      </c>
      <c r="AD836" s="61">
        <v>911.15482331647854</v>
      </c>
      <c r="AE836" s="61">
        <v>569.11606703090479</v>
      </c>
      <c r="AF836" s="61">
        <v>0</v>
      </c>
      <c r="AG836" s="61">
        <f t="shared" si="989"/>
        <v>331.05903311628612</v>
      </c>
      <c r="AH836" s="64"/>
      <c r="AI836" s="64"/>
      <c r="AJ836" s="67">
        <v>18</v>
      </c>
      <c r="AK836" s="73" t="s">
        <v>42</v>
      </c>
      <c r="AL836" s="67">
        <v>17166</v>
      </c>
      <c r="AM836" s="72" t="s">
        <v>1025</v>
      </c>
      <c r="AN836" s="72" t="s">
        <v>886</v>
      </c>
      <c r="AO836" s="65">
        <f t="shared" si="993"/>
        <v>86363.2260303355</v>
      </c>
      <c r="AP836" s="65">
        <f t="shared" si="994"/>
        <v>28787.742010111833</v>
      </c>
      <c r="AQ836" s="65">
        <f t="shared" si="995"/>
        <v>0</v>
      </c>
      <c r="AR836" s="65">
        <f t="shared" si="996"/>
        <v>3063.190160100502</v>
      </c>
      <c r="AS836" s="65">
        <f t="shared" si="997"/>
        <v>0</v>
      </c>
      <c r="AT836" s="65">
        <f t="shared" si="998"/>
        <v>14393.871005055917</v>
      </c>
      <c r="AU836" s="65">
        <f t="shared" si="999"/>
        <v>2878.7742010111833</v>
      </c>
      <c r="AV836" s="65">
        <f t="shared" si="1000"/>
        <v>20693.924274445286</v>
      </c>
      <c r="AW836" s="65">
        <f t="shared" si="1001"/>
        <v>10933.857879797742</v>
      </c>
      <c r="AX836" s="65">
        <f t="shared" si="1002"/>
        <v>6829.3928043708574</v>
      </c>
      <c r="AY836" s="65">
        <f t="shared" si="1003"/>
        <v>0</v>
      </c>
      <c r="AZ836" s="65">
        <f t="shared" si="1004"/>
        <v>3972.7083973954332</v>
      </c>
      <c r="BB836" s="64"/>
      <c r="BC836" s="66"/>
      <c r="BD836" s="66"/>
      <c r="BE836" s="66"/>
    </row>
    <row r="837" spans="2:57" ht="21" customHeight="1" x14ac:dyDescent="0.2">
      <c r="B837" s="67">
        <v>19</v>
      </c>
      <c r="C837" s="73" t="s">
        <v>42</v>
      </c>
      <c r="D837" s="67">
        <v>17162</v>
      </c>
      <c r="E837" s="73" t="s">
        <v>1026</v>
      </c>
      <c r="F837" s="72" t="s">
        <v>886</v>
      </c>
      <c r="G837" s="169">
        <v>43998</v>
      </c>
      <c r="H837" s="56" t="str">
        <f t="shared" si="976"/>
        <v>4 AÑOS</v>
      </c>
      <c r="I837" s="57">
        <v>4613.4201939281784</v>
      </c>
      <c r="J837" s="58"/>
      <c r="K837" s="58"/>
      <c r="L837" s="59"/>
      <c r="M837" s="60">
        <v>4.0000000000000002E-4</v>
      </c>
      <c r="N837" s="61">
        <f t="shared" si="977"/>
        <v>184.53680775712715</v>
      </c>
      <c r="O837" s="58">
        <f t="shared" si="978"/>
        <v>4797.9570016853058</v>
      </c>
      <c r="P837" s="61">
        <f t="shared" si="979"/>
        <v>9595.9140033706117</v>
      </c>
      <c r="Q837" s="61">
        <f t="shared" si="980"/>
        <v>7196.9355025279583</v>
      </c>
      <c r="R837" s="61">
        <f t="shared" si="981"/>
        <v>2398.9785008426529</v>
      </c>
      <c r="S837" s="61">
        <f t="shared" si="982"/>
        <v>319.86380011235372</v>
      </c>
      <c r="T837" s="58">
        <f t="shared" si="983"/>
        <v>367.17165614897078</v>
      </c>
      <c r="U837" s="61">
        <f t="shared" si="984"/>
        <v>3598.4677512639792</v>
      </c>
      <c r="V837" s="58">
        <f t="shared" si="985"/>
        <v>1199.4892504213265</v>
      </c>
      <c r="W837" s="62">
        <v>0</v>
      </c>
      <c r="X837" s="63">
        <f t="shared" si="986"/>
        <v>0</v>
      </c>
      <c r="Y837" s="61">
        <v>255.26584667504181</v>
      </c>
      <c r="Z837" s="61">
        <v>0</v>
      </c>
      <c r="AA837" s="61">
        <f t="shared" si="987"/>
        <v>1199.4892504213265</v>
      </c>
      <c r="AB837" s="61">
        <f t="shared" si="988"/>
        <v>239.89785008426529</v>
      </c>
      <c r="AC837" s="61">
        <v>1724.4936895371072</v>
      </c>
      <c r="AD837" s="61">
        <v>911.15482331647854</v>
      </c>
      <c r="AE837" s="61">
        <v>569.11606703090479</v>
      </c>
      <c r="AF837" s="61">
        <v>0</v>
      </c>
      <c r="AG837" s="61">
        <f t="shared" si="989"/>
        <v>331.05903311628612</v>
      </c>
      <c r="AH837" s="64"/>
      <c r="AI837" s="64"/>
      <c r="AJ837" s="67">
        <v>19</v>
      </c>
      <c r="AK837" s="73" t="s">
        <v>42</v>
      </c>
      <c r="AL837" s="67">
        <v>17162</v>
      </c>
      <c r="AM837" s="73" t="s">
        <v>1026</v>
      </c>
      <c r="AN837" s="72" t="s">
        <v>886</v>
      </c>
      <c r="AO837" s="65">
        <f>Q837*8.5</f>
        <v>61173.951771487642</v>
      </c>
      <c r="AP837" s="65">
        <f>R837*8.5</f>
        <v>20391.317257162551</v>
      </c>
      <c r="AQ837" s="65">
        <f t="shared" ref="AQ837:AZ837" si="1005">X837*8.5</f>
        <v>0</v>
      </c>
      <c r="AR837" s="65">
        <f t="shared" si="1005"/>
        <v>2169.7596967378554</v>
      </c>
      <c r="AS837" s="65">
        <f t="shared" si="1005"/>
        <v>0</v>
      </c>
      <c r="AT837" s="65">
        <f t="shared" si="1005"/>
        <v>10195.658628581275</v>
      </c>
      <c r="AU837" s="65">
        <f t="shared" si="1005"/>
        <v>2039.131725716255</v>
      </c>
      <c r="AV837" s="65">
        <f t="shared" si="1005"/>
        <v>14658.196361065411</v>
      </c>
      <c r="AW837" s="65">
        <f t="shared" si="1005"/>
        <v>7744.8159981900681</v>
      </c>
      <c r="AX837" s="65">
        <f t="shared" si="1005"/>
        <v>4837.486569762691</v>
      </c>
      <c r="AY837" s="65">
        <f t="shared" si="1005"/>
        <v>0</v>
      </c>
      <c r="AZ837" s="65">
        <f t="shared" si="1005"/>
        <v>2814.0017814884318</v>
      </c>
      <c r="BB837" s="64"/>
      <c r="BC837" s="66"/>
      <c r="BD837" s="66"/>
      <c r="BE837" s="66"/>
    </row>
    <row r="838" spans="2:57" ht="21" customHeight="1" x14ac:dyDescent="0.2">
      <c r="B838" s="67">
        <v>20</v>
      </c>
      <c r="C838" s="73" t="s">
        <v>42</v>
      </c>
      <c r="D838" s="67">
        <v>17125</v>
      </c>
      <c r="E838" s="72" t="s">
        <v>1027</v>
      </c>
      <c r="F838" s="72" t="s">
        <v>886</v>
      </c>
      <c r="G838" s="100">
        <v>41349</v>
      </c>
      <c r="H838" s="56" t="str">
        <f t="shared" si="976"/>
        <v>11 AÑOS</v>
      </c>
      <c r="I838" s="57">
        <v>4613.4201939281784</v>
      </c>
      <c r="J838" s="58"/>
      <c r="K838" s="58"/>
      <c r="L838" s="59"/>
      <c r="M838" s="60">
        <v>4.0000000000000002E-4</v>
      </c>
      <c r="N838" s="61">
        <f t="shared" si="977"/>
        <v>184.53680775712715</v>
      </c>
      <c r="O838" s="58">
        <f t="shared" si="978"/>
        <v>4797.9570016853058</v>
      </c>
      <c r="P838" s="61">
        <f t="shared" si="979"/>
        <v>9595.9140033706117</v>
      </c>
      <c r="Q838" s="61">
        <f t="shared" si="980"/>
        <v>7196.9355025279583</v>
      </c>
      <c r="R838" s="61">
        <f t="shared" si="981"/>
        <v>2398.9785008426529</v>
      </c>
      <c r="S838" s="61">
        <f t="shared" si="982"/>
        <v>319.86380011235372</v>
      </c>
      <c r="T838" s="58">
        <f t="shared" si="983"/>
        <v>367.17165614897078</v>
      </c>
      <c r="U838" s="61">
        <f t="shared" si="984"/>
        <v>3598.4677512639792</v>
      </c>
      <c r="V838" s="58">
        <f t="shared" si="985"/>
        <v>1199.4892504213265</v>
      </c>
      <c r="W838" s="62">
        <v>0</v>
      </c>
      <c r="X838" s="63">
        <f t="shared" si="986"/>
        <v>0</v>
      </c>
      <c r="Y838" s="61">
        <v>255.26584667504181</v>
      </c>
      <c r="Z838" s="61">
        <v>0</v>
      </c>
      <c r="AA838" s="61">
        <f t="shared" si="987"/>
        <v>1199.4892504213265</v>
      </c>
      <c r="AB838" s="61">
        <f t="shared" si="988"/>
        <v>239.89785008426529</v>
      </c>
      <c r="AC838" s="61">
        <v>1724.4936895371072</v>
      </c>
      <c r="AD838" s="61">
        <v>911.15482331647854</v>
      </c>
      <c r="AE838" s="61">
        <v>569.11606703090479</v>
      </c>
      <c r="AF838" s="61">
        <v>0</v>
      </c>
      <c r="AG838" s="61">
        <f t="shared" si="989"/>
        <v>331.05903311628612</v>
      </c>
      <c r="AH838" s="64"/>
      <c r="AI838" s="64"/>
      <c r="AJ838" s="67">
        <v>20</v>
      </c>
      <c r="AK838" s="73" t="s">
        <v>42</v>
      </c>
      <c r="AL838" s="67">
        <v>17125</v>
      </c>
      <c r="AM838" s="72" t="s">
        <v>1027</v>
      </c>
      <c r="AN838" s="72" t="s">
        <v>886</v>
      </c>
      <c r="AO838" s="65">
        <f t="shared" ref="AO838:AP845" si="1006">Q838*12</f>
        <v>86363.2260303355</v>
      </c>
      <c r="AP838" s="65">
        <f t="shared" si="1006"/>
        <v>28787.742010111833</v>
      </c>
      <c r="AQ838" s="65">
        <f t="shared" ref="AQ838:AZ845" si="1007">X838*12</f>
        <v>0</v>
      </c>
      <c r="AR838" s="65">
        <f t="shared" si="1007"/>
        <v>3063.190160100502</v>
      </c>
      <c r="AS838" s="65">
        <f t="shared" si="1007"/>
        <v>0</v>
      </c>
      <c r="AT838" s="65">
        <f t="shared" si="1007"/>
        <v>14393.871005055917</v>
      </c>
      <c r="AU838" s="65">
        <f t="shared" si="1007"/>
        <v>2878.7742010111833</v>
      </c>
      <c r="AV838" s="65">
        <f t="shared" si="1007"/>
        <v>20693.924274445286</v>
      </c>
      <c r="AW838" s="65">
        <f t="shared" si="1007"/>
        <v>10933.857879797742</v>
      </c>
      <c r="AX838" s="65">
        <f t="shared" si="1007"/>
        <v>6829.3928043708574</v>
      </c>
      <c r="AY838" s="65">
        <f t="shared" si="1007"/>
        <v>0</v>
      </c>
      <c r="AZ838" s="65">
        <f t="shared" si="1007"/>
        <v>3972.7083973954332</v>
      </c>
      <c r="BB838" s="64"/>
      <c r="BC838" s="66"/>
      <c r="BD838" s="66"/>
      <c r="BE838" s="66"/>
    </row>
    <row r="839" spans="2:57" ht="21" customHeight="1" x14ac:dyDescent="0.2">
      <c r="B839" s="67">
        <v>21</v>
      </c>
      <c r="C839" s="73" t="s">
        <v>42</v>
      </c>
      <c r="D839" s="67">
        <v>17170</v>
      </c>
      <c r="E839" s="73" t="s">
        <v>1028</v>
      </c>
      <c r="F839" s="72" t="s">
        <v>886</v>
      </c>
      <c r="G839" s="55">
        <v>45078</v>
      </c>
      <c r="H839" s="56" t="str">
        <f t="shared" si="976"/>
        <v>1 AÑOS</v>
      </c>
      <c r="I839" s="57">
        <v>4613.4201939281784</v>
      </c>
      <c r="J839" s="58"/>
      <c r="K839" s="58"/>
      <c r="L839" s="59"/>
      <c r="M839" s="60">
        <v>4.0000000000000002E-4</v>
      </c>
      <c r="N839" s="61">
        <f t="shared" si="977"/>
        <v>184.53680775712715</v>
      </c>
      <c r="O839" s="58">
        <f t="shared" si="978"/>
        <v>4797.9570016853058</v>
      </c>
      <c r="P839" s="61">
        <f>O839*2</f>
        <v>9595.9140033706117</v>
      </c>
      <c r="Q839" s="61">
        <f>P839*0.75</f>
        <v>7196.9355025279583</v>
      </c>
      <c r="R839" s="61">
        <f>P839*0.25</f>
        <v>2398.9785008426529</v>
      </c>
      <c r="S839" s="61">
        <f>(P839/30)</f>
        <v>319.86380011235372</v>
      </c>
      <c r="T839" s="58">
        <f t="shared" si="983"/>
        <v>367.17165614897078</v>
      </c>
      <c r="U839" s="61">
        <f>O839*0.75</f>
        <v>3598.4677512639792</v>
      </c>
      <c r="V839" s="58">
        <f>O839*0.25</f>
        <v>1199.4892504213265</v>
      </c>
      <c r="W839" s="62">
        <v>0</v>
      </c>
      <c r="X839" s="63">
        <f t="shared" si="986"/>
        <v>0</v>
      </c>
      <c r="Y839" s="61">
        <v>255.26584667504181</v>
      </c>
      <c r="Z839" s="61">
        <v>0</v>
      </c>
      <c r="AA839" s="61">
        <f t="shared" si="987"/>
        <v>1199.4892504213265</v>
      </c>
      <c r="AB839" s="61">
        <f t="shared" si="988"/>
        <v>239.89785008426529</v>
      </c>
      <c r="AC839" s="61">
        <v>1724.4936895371072</v>
      </c>
      <c r="AD839" s="61">
        <v>911.15482331647854</v>
      </c>
      <c r="AE839" s="61">
        <v>569.11606703090479</v>
      </c>
      <c r="AF839" s="61">
        <v>0</v>
      </c>
      <c r="AG839" s="61">
        <f t="shared" si="989"/>
        <v>331.05903311628612</v>
      </c>
      <c r="AH839" s="64"/>
      <c r="AI839" s="64"/>
      <c r="AJ839" s="67">
        <v>21</v>
      </c>
      <c r="AK839" s="73" t="s">
        <v>42</v>
      </c>
      <c r="AL839" s="67">
        <v>17170</v>
      </c>
      <c r="AM839" s="73" t="s">
        <v>1028</v>
      </c>
      <c r="AN839" s="72" t="s">
        <v>886</v>
      </c>
      <c r="AO839" s="65">
        <f t="shared" si="1006"/>
        <v>86363.2260303355</v>
      </c>
      <c r="AP839" s="65">
        <f t="shared" si="1006"/>
        <v>28787.742010111833</v>
      </c>
      <c r="AQ839" s="65">
        <f t="shared" si="1007"/>
        <v>0</v>
      </c>
      <c r="AR839" s="65">
        <f t="shared" si="1007"/>
        <v>3063.190160100502</v>
      </c>
      <c r="AS839" s="65">
        <f t="shared" si="1007"/>
        <v>0</v>
      </c>
      <c r="AT839" s="65">
        <f t="shared" si="1007"/>
        <v>14393.871005055917</v>
      </c>
      <c r="AU839" s="65">
        <f t="shared" si="1007"/>
        <v>2878.7742010111833</v>
      </c>
      <c r="AV839" s="65">
        <f t="shared" si="1007"/>
        <v>20693.924274445286</v>
      </c>
      <c r="AW839" s="65">
        <f t="shared" si="1007"/>
        <v>10933.857879797742</v>
      </c>
      <c r="AX839" s="65">
        <f t="shared" si="1007"/>
        <v>6829.3928043708574</v>
      </c>
      <c r="AY839" s="65">
        <f t="shared" si="1007"/>
        <v>0</v>
      </c>
      <c r="AZ839" s="65">
        <f t="shared" si="1007"/>
        <v>3972.7083973954332</v>
      </c>
      <c r="BB839" s="64"/>
      <c r="BC839" s="66"/>
      <c r="BD839" s="66"/>
      <c r="BE839" s="66"/>
    </row>
    <row r="840" spans="2:57" ht="21" customHeight="1" x14ac:dyDescent="0.2">
      <c r="B840" s="51">
        <v>22</v>
      </c>
      <c r="C840" s="73" t="s">
        <v>42</v>
      </c>
      <c r="D840" s="67">
        <v>17155</v>
      </c>
      <c r="E840" s="73" t="s">
        <v>1029</v>
      </c>
      <c r="F840" s="72" t="s">
        <v>886</v>
      </c>
      <c r="G840" s="55">
        <v>43514</v>
      </c>
      <c r="H840" s="56" t="str">
        <f t="shared" si="976"/>
        <v>5 AÑOS</v>
      </c>
      <c r="I840" s="57">
        <v>4613.4201939281784</v>
      </c>
      <c r="J840" s="58"/>
      <c r="K840" s="58"/>
      <c r="L840" s="59"/>
      <c r="M840" s="60">
        <v>4.0000000000000002E-4</v>
      </c>
      <c r="N840" s="61">
        <f t="shared" si="977"/>
        <v>184.53680775712715</v>
      </c>
      <c r="O840" s="58">
        <f t="shared" si="978"/>
        <v>4797.9570016853058</v>
      </c>
      <c r="P840" s="61">
        <f t="shared" si="979"/>
        <v>9595.9140033706117</v>
      </c>
      <c r="Q840" s="61">
        <f t="shared" si="980"/>
        <v>7196.9355025279583</v>
      </c>
      <c r="R840" s="61">
        <f t="shared" si="981"/>
        <v>2398.9785008426529</v>
      </c>
      <c r="S840" s="61">
        <f t="shared" si="982"/>
        <v>319.86380011235372</v>
      </c>
      <c r="T840" s="58">
        <f t="shared" si="983"/>
        <v>367.17165614897078</v>
      </c>
      <c r="U840" s="61">
        <f t="shared" si="984"/>
        <v>3598.4677512639792</v>
      </c>
      <c r="V840" s="58">
        <f t="shared" si="985"/>
        <v>1199.4892504213265</v>
      </c>
      <c r="W840" s="62">
        <v>0</v>
      </c>
      <c r="X840" s="63">
        <f t="shared" si="986"/>
        <v>0</v>
      </c>
      <c r="Y840" s="61">
        <v>255.26584667504181</v>
      </c>
      <c r="Z840" s="61">
        <v>0</v>
      </c>
      <c r="AA840" s="61">
        <f t="shared" si="987"/>
        <v>1199.4892504213265</v>
      </c>
      <c r="AB840" s="61">
        <f t="shared" si="988"/>
        <v>239.89785008426529</v>
      </c>
      <c r="AC840" s="61">
        <v>1724.4936895371072</v>
      </c>
      <c r="AD840" s="61">
        <v>911.15482331647854</v>
      </c>
      <c r="AE840" s="61">
        <v>569.11606703090479</v>
      </c>
      <c r="AF840" s="61">
        <v>0</v>
      </c>
      <c r="AG840" s="61">
        <f t="shared" si="989"/>
        <v>331.05903311628612</v>
      </c>
      <c r="AH840" s="64"/>
      <c r="AI840" s="64"/>
      <c r="AJ840" s="51">
        <v>22</v>
      </c>
      <c r="AK840" s="73" t="s">
        <v>42</v>
      </c>
      <c r="AL840" s="67">
        <v>17155</v>
      </c>
      <c r="AM840" s="73" t="s">
        <v>1029</v>
      </c>
      <c r="AN840" s="72" t="s">
        <v>886</v>
      </c>
      <c r="AO840" s="65">
        <f t="shared" si="1006"/>
        <v>86363.2260303355</v>
      </c>
      <c r="AP840" s="65">
        <f t="shared" si="1006"/>
        <v>28787.742010111833</v>
      </c>
      <c r="AQ840" s="65">
        <f t="shared" si="1007"/>
        <v>0</v>
      </c>
      <c r="AR840" s="65">
        <f t="shared" si="1007"/>
        <v>3063.190160100502</v>
      </c>
      <c r="AS840" s="65">
        <f t="shared" si="1007"/>
        <v>0</v>
      </c>
      <c r="AT840" s="65">
        <f t="shared" si="1007"/>
        <v>14393.871005055917</v>
      </c>
      <c r="AU840" s="65">
        <f t="shared" si="1007"/>
        <v>2878.7742010111833</v>
      </c>
      <c r="AV840" s="65">
        <f t="shared" si="1007"/>
        <v>20693.924274445286</v>
      </c>
      <c r="AW840" s="65">
        <f t="shared" si="1007"/>
        <v>10933.857879797742</v>
      </c>
      <c r="AX840" s="65">
        <f t="shared" si="1007"/>
        <v>6829.3928043708574</v>
      </c>
      <c r="AY840" s="65">
        <f t="shared" si="1007"/>
        <v>0</v>
      </c>
      <c r="AZ840" s="65">
        <f t="shared" si="1007"/>
        <v>3972.7083973954332</v>
      </c>
      <c r="BB840" s="64"/>
      <c r="BC840" s="66"/>
      <c r="BD840" s="66"/>
      <c r="BE840" s="66"/>
    </row>
    <row r="841" spans="2:57" ht="21" customHeight="1" x14ac:dyDescent="0.2">
      <c r="B841" s="67">
        <v>23</v>
      </c>
      <c r="C841" s="73" t="s">
        <v>42</v>
      </c>
      <c r="D841" s="67">
        <v>17122</v>
      </c>
      <c r="E841" s="112" t="s">
        <v>1030</v>
      </c>
      <c r="F841" s="72" t="s">
        <v>886</v>
      </c>
      <c r="G841" s="55">
        <v>41201</v>
      </c>
      <c r="H841" s="56" t="str">
        <f t="shared" si="976"/>
        <v>12 AÑOS</v>
      </c>
      <c r="I841" s="57">
        <v>4613.4201939281784</v>
      </c>
      <c r="J841" s="58"/>
      <c r="K841" s="58"/>
      <c r="L841" s="59"/>
      <c r="M841" s="60">
        <v>4.0000000000000002E-4</v>
      </c>
      <c r="N841" s="61">
        <f t="shared" si="977"/>
        <v>184.53680775712715</v>
      </c>
      <c r="O841" s="58">
        <f t="shared" si="978"/>
        <v>4797.9570016853058</v>
      </c>
      <c r="P841" s="61">
        <f t="shared" si="979"/>
        <v>9595.9140033706117</v>
      </c>
      <c r="Q841" s="61">
        <f t="shared" si="980"/>
        <v>7196.9355025279583</v>
      </c>
      <c r="R841" s="61">
        <f t="shared" si="981"/>
        <v>2398.9785008426529</v>
      </c>
      <c r="S841" s="61">
        <f t="shared" si="982"/>
        <v>319.86380011235372</v>
      </c>
      <c r="T841" s="58">
        <f t="shared" si="983"/>
        <v>367.17165614897078</v>
      </c>
      <c r="U841" s="61">
        <f t="shared" si="984"/>
        <v>3598.4677512639792</v>
      </c>
      <c r="V841" s="58">
        <f t="shared" si="985"/>
        <v>1199.4892504213265</v>
      </c>
      <c r="W841" s="62">
        <v>0</v>
      </c>
      <c r="X841" s="63">
        <f t="shared" si="986"/>
        <v>0</v>
      </c>
      <c r="Y841" s="61">
        <v>255.26584667504181</v>
      </c>
      <c r="Z841" s="61">
        <v>0</v>
      </c>
      <c r="AA841" s="61">
        <f t="shared" si="987"/>
        <v>1199.4892504213265</v>
      </c>
      <c r="AB841" s="61">
        <f t="shared" si="988"/>
        <v>239.89785008426529</v>
      </c>
      <c r="AC841" s="61">
        <v>1724.4936895371072</v>
      </c>
      <c r="AD841" s="61">
        <v>911.15482331647854</v>
      </c>
      <c r="AE841" s="61">
        <v>569.11606703090479</v>
      </c>
      <c r="AF841" s="61">
        <v>0</v>
      </c>
      <c r="AG841" s="61">
        <f t="shared" si="989"/>
        <v>331.05903311628612</v>
      </c>
      <c r="AH841" s="64"/>
      <c r="AI841" s="64"/>
      <c r="AJ841" s="67">
        <v>23</v>
      </c>
      <c r="AK841" s="73" t="s">
        <v>42</v>
      </c>
      <c r="AL841" s="67">
        <v>17122</v>
      </c>
      <c r="AM841" s="112" t="s">
        <v>1030</v>
      </c>
      <c r="AN841" s="72" t="s">
        <v>886</v>
      </c>
      <c r="AO841" s="65">
        <f t="shared" si="1006"/>
        <v>86363.2260303355</v>
      </c>
      <c r="AP841" s="65">
        <f t="shared" si="1006"/>
        <v>28787.742010111833</v>
      </c>
      <c r="AQ841" s="65">
        <f t="shared" si="1007"/>
        <v>0</v>
      </c>
      <c r="AR841" s="65">
        <f t="shared" si="1007"/>
        <v>3063.190160100502</v>
      </c>
      <c r="AS841" s="65">
        <f t="shared" si="1007"/>
        <v>0</v>
      </c>
      <c r="AT841" s="65">
        <f t="shared" si="1007"/>
        <v>14393.871005055917</v>
      </c>
      <c r="AU841" s="65">
        <f t="shared" si="1007"/>
        <v>2878.7742010111833</v>
      </c>
      <c r="AV841" s="65">
        <f t="shared" si="1007"/>
        <v>20693.924274445286</v>
      </c>
      <c r="AW841" s="65">
        <f t="shared" si="1007"/>
        <v>10933.857879797742</v>
      </c>
      <c r="AX841" s="65">
        <f t="shared" si="1007"/>
        <v>6829.3928043708574</v>
      </c>
      <c r="AY841" s="65">
        <f t="shared" si="1007"/>
        <v>0</v>
      </c>
      <c r="AZ841" s="65">
        <f t="shared" si="1007"/>
        <v>3972.7083973954332</v>
      </c>
      <c r="BB841" s="64"/>
      <c r="BC841" s="66"/>
      <c r="BD841" s="66"/>
      <c r="BE841" s="66"/>
    </row>
    <row r="842" spans="2:57" ht="21" customHeight="1" x14ac:dyDescent="0.2">
      <c r="B842" s="67">
        <v>24</v>
      </c>
      <c r="C842" s="73" t="s">
        <v>42</v>
      </c>
      <c r="D842" s="67">
        <v>17161</v>
      </c>
      <c r="E842" s="73" t="s">
        <v>1031</v>
      </c>
      <c r="F842" s="72" t="s">
        <v>886</v>
      </c>
      <c r="G842" s="169">
        <v>43882</v>
      </c>
      <c r="H842" s="55" t="str">
        <f t="shared" si="976"/>
        <v>4 AÑOS</v>
      </c>
      <c r="I842" s="57">
        <v>4613.4201939281784</v>
      </c>
      <c r="J842" s="57"/>
      <c r="K842" s="57"/>
      <c r="L842" s="74"/>
      <c r="M842" s="171">
        <v>4.0000000000000002E-4</v>
      </c>
      <c r="N842" s="81">
        <f t="shared" si="977"/>
        <v>184.53680775712715</v>
      </c>
      <c r="O842" s="57">
        <f t="shared" si="978"/>
        <v>4797.9570016853058</v>
      </c>
      <c r="P842" s="81">
        <f t="shared" si="979"/>
        <v>9595.9140033706117</v>
      </c>
      <c r="Q842" s="81">
        <f t="shared" si="980"/>
        <v>7196.9355025279583</v>
      </c>
      <c r="R842" s="81">
        <f t="shared" si="981"/>
        <v>2398.9785008426529</v>
      </c>
      <c r="S842" s="81">
        <f t="shared" si="982"/>
        <v>319.86380011235372</v>
      </c>
      <c r="T842" s="57">
        <f t="shared" si="983"/>
        <v>367.17165614897078</v>
      </c>
      <c r="U842" s="81">
        <f t="shared" si="984"/>
        <v>3598.4677512639792</v>
      </c>
      <c r="V842" s="57">
        <f t="shared" si="985"/>
        <v>1199.4892504213265</v>
      </c>
      <c r="W842" s="101">
        <v>0</v>
      </c>
      <c r="X842" s="158">
        <f t="shared" si="986"/>
        <v>0</v>
      </c>
      <c r="Y842" s="81">
        <v>255.26584667504181</v>
      </c>
      <c r="Z842" s="81">
        <v>0</v>
      </c>
      <c r="AA842" s="81">
        <f t="shared" si="987"/>
        <v>1199.4892504213265</v>
      </c>
      <c r="AB842" s="81">
        <f t="shared" si="988"/>
        <v>239.89785008426529</v>
      </c>
      <c r="AC842" s="81">
        <v>1724.4936895371072</v>
      </c>
      <c r="AD842" s="81">
        <v>911.15482331647854</v>
      </c>
      <c r="AE842" s="81">
        <v>569.11606703090479</v>
      </c>
      <c r="AF842" s="81">
        <v>0</v>
      </c>
      <c r="AG842" s="81">
        <f t="shared" si="989"/>
        <v>331.05903311628612</v>
      </c>
      <c r="AH842" s="64"/>
      <c r="AI842" s="64"/>
      <c r="AJ842" s="67">
        <v>24</v>
      </c>
      <c r="AK842" s="73" t="s">
        <v>42</v>
      </c>
      <c r="AL842" s="67">
        <v>17161</v>
      </c>
      <c r="AM842" s="73" t="s">
        <v>1031</v>
      </c>
      <c r="AN842" s="72" t="s">
        <v>886</v>
      </c>
      <c r="AO842" s="159">
        <f t="shared" si="1006"/>
        <v>86363.2260303355</v>
      </c>
      <c r="AP842" s="159">
        <f t="shared" si="1006"/>
        <v>28787.742010111833</v>
      </c>
      <c r="AQ842" s="159">
        <f t="shared" si="1007"/>
        <v>0</v>
      </c>
      <c r="AR842" s="159">
        <f t="shared" si="1007"/>
        <v>3063.190160100502</v>
      </c>
      <c r="AS842" s="159">
        <f t="shared" si="1007"/>
        <v>0</v>
      </c>
      <c r="AT842" s="159">
        <f t="shared" si="1007"/>
        <v>14393.871005055917</v>
      </c>
      <c r="AU842" s="159">
        <f t="shared" si="1007"/>
        <v>2878.7742010111833</v>
      </c>
      <c r="AV842" s="159">
        <f t="shared" si="1007"/>
        <v>20693.924274445286</v>
      </c>
      <c r="AW842" s="159">
        <f t="shared" si="1007"/>
        <v>10933.857879797742</v>
      </c>
      <c r="AX842" s="159">
        <f t="shared" si="1007"/>
        <v>6829.3928043708574</v>
      </c>
      <c r="AY842" s="159">
        <f t="shared" si="1007"/>
        <v>0</v>
      </c>
      <c r="AZ842" s="159">
        <f t="shared" si="1007"/>
        <v>3972.7083973954332</v>
      </c>
      <c r="BB842" s="64"/>
      <c r="BC842" s="66"/>
      <c r="BD842" s="66"/>
      <c r="BE842" s="66"/>
    </row>
    <row r="843" spans="2:57" ht="21" customHeight="1" x14ac:dyDescent="0.2">
      <c r="B843" s="67">
        <v>25</v>
      </c>
      <c r="C843" s="73" t="s">
        <v>42</v>
      </c>
      <c r="D843" s="67">
        <v>17139</v>
      </c>
      <c r="E843" s="72" t="s">
        <v>1032</v>
      </c>
      <c r="F843" s="72" t="s">
        <v>886</v>
      </c>
      <c r="G843" s="55">
        <v>41806</v>
      </c>
      <c r="H843" s="55" t="str">
        <f t="shared" si="976"/>
        <v>10 AÑOS</v>
      </c>
      <c r="I843" s="57">
        <v>4613.4201939281784</v>
      </c>
      <c r="J843" s="57"/>
      <c r="K843" s="57"/>
      <c r="L843" s="74"/>
      <c r="M843" s="171">
        <v>4.0000000000000002E-4</v>
      </c>
      <c r="N843" s="81">
        <f t="shared" si="977"/>
        <v>184.53680775712715</v>
      </c>
      <c r="O843" s="57">
        <f t="shared" si="978"/>
        <v>4797.9570016853058</v>
      </c>
      <c r="P843" s="81">
        <f t="shared" si="979"/>
        <v>9595.9140033706117</v>
      </c>
      <c r="Q843" s="81">
        <f t="shared" si="980"/>
        <v>7196.9355025279583</v>
      </c>
      <c r="R843" s="81">
        <f t="shared" si="981"/>
        <v>2398.9785008426529</v>
      </c>
      <c r="S843" s="81">
        <f t="shared" si="982"/>
        <v>319.86380011235372</v>
      </c>
      <c r="T843" s="57">
        <f t="shared" si="983"/>
        <v>367.17165614897078</v>
      </c>
      <c r="U843" s="81">
        <f t="shared" si="984"/>
        <v>3598.4677512639792</v>
      </c>
      <c r="V843" s="57">
        <f t="shared" si="985"/>
        <v>1199.4892504213265</v>
      </c>
      <c r="W843" s="101">
        <v>0</v>
      </c>
      <c r="X843" s="158">
        <f t="shared" si="986"/>
        <v>0</v>
      </c>
      <c r="Y843" s="81">
        <v>255.26584667504181</v>
      </c>
      <c r="Z843" s="81">
        <v>0</v>
      </c>
      <c r="AA843" s="81">
        <f t="shared" si="987"/>
        <v>1199.4892504213265</v>
      </c>
      <c r="AB843" s="81">
        <f t="shared" si="988"/>
        <v>239.89785008426529</v>
      </c>
      <c r="AC843" s="81">
        <v>1724.4936895371072</v>
      </c>
      <c r="AD843" s="81">
        <v>911.15482331647854</v>
      </c>
      <c r="AE843" s="81">
        <v>569.11606703090479</v>
      </c>
      <c r="AF843" s="81">
        <v>0</v>
      </c>
      <c r="AG843" s="81">
        <f t="shared" si="989"/>
        <v>331.05903311628612</v>
      </c>
      <c r="AH843" s="64"/>
      <c r="AI843" s="64"/>
      <c r="AJ843" s="67">
        <v>25</v>
      </c>
      <c r="AK843" s="73" t="s">
        <v>42</v>
      </c>
      <c r="AL843" s="67">
        <v>17139</v>
      </c>
      <c r="AM843" s="72" t="s">
        <v>1032</v>
      </c>
      <c r="AN843" s="72" t="s">
        <v>886</v>
      </c>
      <c r="AO843" s="65">
        <f t="shared" si="1006"/>
        <v>86363.2260303355</v>
      </c>
      <c r="AP843" s="65">
        <f t="shared" si="1006"/>
        <v>28787.742010111833</v>
      </c>
      <c r="AQ843" s="65">
        <f t="shared" si="1007"/>
        <v>0</v>
      </c>
      <c r="AR843" s="65">
        <f t="shared" si="1007"/>
        <v>3063.190160100502</v>
      </c>
      <c r="AS843" s="65">
        <f t="shared" si="1007"/>
        <v>0</v>
      </c>
      <c r="AT843" s="65">
        <f t="shared" si="1007"/>
        <v>14393.871005055917</v>
      </c>
      <c r="AU843" s="65">
        <f t="shared" si="1007"/>
        <v>2878.7742010111833</v>
      </c>
      <c r="AV843" s="65">
        <f t="shared" si="1007"/>
        <v>20693.924274445286</v>
      </c>
      <c r="AW843" s="65">
        <f t="shared" si="1007"/>
        <v>10933.857879797742</v>
      </c>
      <c r="AX843" s="65">
        <f t="shared" si="1007"/>
        <v>6829.3928043708574</v>
      </c>
      <c r="AY843" s="65">
        <f t="shared" si="1007"/>
        <v>0</v>
      </c>
      <c r="AZ843" s="65">
        <f t="shared" si="1007"/>
        <v>3972.7083973954332</v>
      </c>
      <c r="BB843" s="64"/>
      <c r="BC843" s="66"/>
      <c r="BD843" s="66"/>
      <c r="BE843" s="66"/>
    </row>
    <row r="844" spans="2:57" ht="21" customHeight="1" x14ac:dyDescent="0.2">
      <c r="B844" s="67">
        <v>26</v>
      </c>
      <c r="C844" s="73" t="s">
        <v>42</v>
      </c>
      <c r="D844" s="67">
        <v>17149</v>
      </c>
      <c r="E844" s="73" t="s">
        <v>1033</v>
      </c>
      <c r="F844" s="72" t="s">
        <v>886</v>
      </c>
      <c r="G844" s="169">
        <v>44881</v>
      </c>
      <c r="H844" s="55" t="str">
        <f t="shared" si="976"/>
        <v>2 AÑOS</v>
      </c>
      <c r="I844" s="57">
        <v>4613.4201939281784</v>
      </c>
      <c r="J844" s="57"/>
      <c r="K844" s="57"/>
      <c r="L844" s="74"/>
      <c r="M844" s="171">
        <v>4.0000000000000002E-4</v>
      </c>
      <c r="N844" s="81">
        <f t="shared" si="977"/>
        <v>184.53680775712715</v>
      </c>
      <c r="O844" s="57">
        <f t="shared" si="978"/>
        <v>4797.9570016853058</v>
      </c>
      <c r="P844" s="81">
        <f t="shared" si="979"/>
        <v>9595.9140033706117</v>
      </c>
      <c r="Q844" s="81">
        <f t="shared" si="980"/>
        <v>7196.9355025279583</v>
      </c>
      <c r="R844" s="81">
        <f t="shared" si="981"/>
        <v>2398.9785008426529</v>
      </c>
      <c r="S844" s="81">
        <f t="shared" si="982"/>
        <v>319.86380011235372</v>
      </c>
      <c r="T844" s="57">
        <f t="shared" si="983"/>
        <v>367.17165614897078</v>
      </c>
      <c r="U844" s="81">
        <f t="shared" si="984"/>
        <v>3598.4677512639792</v>
      </c>
      <c r="V844" s="57">
        <f t="shared" si="985"/>
        <v>1199.4892504213265</v>
      </c>
      <c r="W844" s="101">
        <v>0</v>
      </c>
      <c r="X844" s="158">
        <f t="shared" si="986"/>
        <v>0</v>
      </c>
      <c r="Y844" s="81">
        <v>255.26584667504181</v>
      </c>
      <c r="Z844" s="81">
        <v>0</v>
      </c>
      <c r="AA844" s="81">
        <f t="shared" si="987"/>
        <v>1199.4892504213265</v>
      </c>
      <c r="AB844" s="81">
        <f t="shared" si="988"/>
        <v>239.89785008426529</v>
      </c>
      <c r="AC844" s="81">
        <v>1724.4936895371072</v>
      </c>
      <c r="AD844" s="81">
        <v>911.15482331647854</v>
      </c>
      <c r="AE844" s="81">
        <v>569.11606703090479</v>
      </c>
      <c r="AF844" s="81">
        <v>0</v>
      </c>
      <c r="AG844" s="81">
        <f t="shared" si="989"/>
        <v>331.05903311628612</v>
      </c>
      <c r="AH844" s="64"/>
      <c r="AI844" s="64"/>
      <c r="AJ844" s="67">
        <v>26</v>
      </c>
      <c r="AK844" s="73" t="s">
        <v>42</v>
      </c>
      <c r="AL844" s="67">
        <v>17149</v>
      </c>
      <c r="AM844" s="73" t="s">
        <v>1033</v>
      </c>
      <c r="AN844" s="72" t="s">
        <v>886</v>
      </c>
      <c r="AO844" s="65">
        <f t="shared" si="1006"/>
        <v>86363.2260303355</v>
      </c>
      <c r="AP844" s="65">
        <f t="shared" si="1006"/>
        <v>28787.742010111833</v>
      </c>
      <c r="AQ844" s="65">
        <f t="shared" si="1007"/>
        <v>0</v>
      </c>
      <c r="AR844" s="65">
        <f t="shared" si="1007"/>
        <v>3063.190160100502</v>
      </c>
      <c r="AS844" s="65">
        <f t="shared" si="1007"/>
        <v>0</v>
      </c>
      <c r="AT844" s="65">
        <f t="shared" si="1007"/>
        <v>14393.871005055917</v>
      </c>
      <c r="AU844" s="65">
        <f t="shared" si="1007"/>
        <v>2878.7742010111833</v>
      </c>
      <c r="AV844" s="65">
        <f t="shared" si="1007"/>
        <v>20693.924274445286</v>
      </c>
      <c r="AW844" s="65">
        <f t="shared" si="1007"/>
        <v>10933.857879797742</v>
      </c>
      <c r="AX844" s="65">
        <f t="shared" si="1007"/>
        <v>6829.3928043708574</v>
      </c>
      <c r="AY844" s="65">
        <f t="shared" si="1007"/>
        <v>0</v>
      </c>
      <c r="AZ844" s="65">
        <f t="shared" si="1007"/>
        <v>3972.7083973954332</v>
      </c>
      <c r="BB844" s="64"/>
      <c r="BC844" s="66"/>
      <c r="BD844" s="66"/>
      <c r="BE844" s="66"/>
    </row>
    <row r="845" spans="2:57" ht="21" customHeight="1" x14ac:dyDescent="0.2">
      <c r="B845" s="67">
        <v>27</v>
      </c>
      <c r="C845" s="73" t="s">
        <v>42</v>
      </c>
      <c r="D845" s="67">
        <v>17082</v>
      </c>
      <c r="E845" s="72" t="s">
        <v>1034</v>
      </c>
      <c r="F845" s="72" t="s">
        <v>886</v>
      </c>
      <c r="G845" s="55">
        <v>38401</v>
      </c>
      <c r="H845" s="55" t="str">
        <f t="shared" si="976"/>
        <v>19 AÑOS</v>
      </c>
      <c r="I845" s="57">
        <v>4613.4201939281784</v>
      </c>
      <c r="J845" s="57"/>
      <c r="K845" s="57"/>
      <c r="L845" s="74"/>
      <c r="M845" s="171">
        <v>4.0000000000000002E-4</v>
      </c>
      <c r="N845" s="81">
        <f t="shared" si="977"/>
        <v>184.53680775712715</v>
      </c>
      <c r="O845" s="57">
        <f t="shared" si="978"/>
        <v>4797.9570016853058</v>
      </c>
      <c r="P845" s="81">
        <f t="shared" si="979"/>
        <v>9595.9140033706117</v>
      </c>
      <c r="Q845" s="81">
        <f t="shared" si="980"/>
        <v>7196.9355025279583</v>
      </c>
      <c r="R845" s="81">
        <f t="shared" si="981"/>
        <v>2398.9785008426529</v>
      </c>
      <c r="S845" s="81">
        <f t="shared" si="982"/>
        <v>319.86380011235372</v>
      </c>
      <c r="T845" s="57">
        <f t="shared" si="983"/>
        <v>367.17165614897078</v>
      </c>
      <c r="U845" s="81">
        <f t="shared" si="984"/>
        <v>3598.4677512639792</v>
      </c>
      <c r="V845" s="57">
        <f t="shared" si="985"/>
        <v>1199.4892504213265</v>
      </c>
      <c r="W845" s="101">
        <v>0</v>
      </c>
      <c r="X845" s="158">
        <f t="shared" si="986"/>
        <v>0</v>
      </c>
      <c r="Y845" s="81">
        <v>255.26584667504181</v>
      </c>
      <c r="Z845" s="81">
        <v>0</v>
      </c>
      <c r="AA845" s="81">
        <f t="shared" si="987"/>
        <v>1199.4892504213265</v>
      </c>
      <c r="AB845" s="81">
        <f t="shared" si="988"/>
        <v>239.89785008426529</v>
      </c>
      <c r="AC845" s="81">
        <v>1724.4936895371072</v>
      </c>
      <c r="AD845" s="81">
        <v>911.15482331647854</v>
      </c>
      <c r="AE845" s="81">
        <v>569.11606703090479</v>
      </c>
      <c r="AF845" s="81">
        <v>0</v>
      </c>
      <c r="AG845" s="81">
        <f t="shared" si="989"/>
        <v>331.05903311628612</v>
      </c>
      <c r="AH845" s="64"/>
      <c r="AI845" s="64"/>
      <c r="AJ845" s="67">
        <v>27</v>
      </c>
      <c r="AK845" s="73" t="s">
        <v>42</v>
      </c>
      <c r="AL845" s="67">
        <v>17082</v>
      </c>
      <c r="AM845" s="72" t="s">
        <v>1034</v>
      </c>
      <c r="AN845" s="72" t="s">
        <v>886</v>
      </c>
      <c r="AO845" s="65">
        <f t="shared" si="1006"/>
        <v>86363.2260303355</v>
      </c>
      <c r="AP845" s="65">
        <f t="shared" si="1006"/>
        <v>28787.742010111833</v>
      </c>
      <c r="AQ845" s="65">
        <f t="shared" si="1007"/>
        <v>0</v>
      </c>
      <c r="AR845" s="65">
        <f t="shared" si="1007"/>
        <v>3063.190160100502</v>
      </c>
      <c r="AS845" s="65">
        <f t="shared" si="1007"/>
        <v>0</v>
      </c>
      <c r="AT845" s="65">
        <f t="shared" si="1007"/>
        <v>14393.871005055917</v>
      </c>
      <c r="AU845" s="65">
        <f t="shared" si="1007"/>
        <v>2878.7742010111833</v>
      </c>
      <c r="AV845" s="65">
        <f t="shared" si="1007"/>
        <v>20693.924274445286</v>
      </c>
      <c r="AW845" s="65">
        <f t="shared" si="1007"/>
        <v>10933.857879797742</v>
      </c>
      <c r="AX845" s="65">
        <f t="shared" si="1007"/>
        <v>6829.3928043708574</v>
      </c>
      <c r="AY845" s="65">
        <f t="shared" si="1007"/>
        <v>0</v>
      </c>
      <c r="AZ845" s="65">
        <f t="shared" si="1007"/>
        <v>3972.7083973954332</v>
      </c>
      <c r="BB845" s="64"/>
      <c r="BC845" s="66"/>
      <c r="BD845" s="66"/>
      <c r="BE845" s="66"/>
    </row>
    <row r="846" spans="2:57" s="364" customFormat="1" ht="21" customHeight="1" x14ac:dyDescent="0.2">
      <c r="B846" s="365">
        <v>28</v>
      </c>
      <c r="C846" s="372" t="s">
        <v>42</v>
      </c>
      <c r="D846" s="365"/>
      <c r="E846" s="375" t="s">
        <v>55</v>
      </c>
      <c r="F846" s="371" t="s">
        <v>886</v>
      </c>
      <c r="G846" s="365"/>
      <c r="H846" s="55"/>
      <c r="I846" s="57">
        <v>4613.4201939281784</v>
      </c>
      <c r="J846" s="57"/>
      <c r="K846" s="57"/>
      <c r="L846" s="74"/>
      <c r="M846" s="171">
        <v>4.0000000000000002E-4</v>
      </c>
      <c r="N846" s="81">
        <f t="shared" si="977"/>
        <v>184.53680775712715</v>
      </c>
      <c r="O846" s="57">
        <f t="shared" si="978"/>
        <v>4797.9570016853058</v>
      </c>
      <c r="P846" s="81">
        <f t="shared" si="979"/>
        <v>9595.9140033706117</v>
      </c>
      <c r="Q846" s="81">
        <f t="shared" si="980"/>
        <v>7196.9355025279583</v>
      </c>
      <c r="R846" s="81">
        <f t="shared" si="981"/>
        <v>2398.9785008426529</v>
      </c>
      <c r="S846" s="81">
        <f t="shared" si="982"/>
        <v>319.86380011235372</v>
      </c>
      <c r="T846" s="57">
        <f t="shared" si="983"/>
        <v>367.17165614897078</v>
      </c>
      <c r="U846" s="81">
        <f t="shared" si="984"/>
        <v>3598.4677512639792</v>
      </c>
      <c r="V846" s="57">
        <f t="shared" si="985"/>
        <v>1199.4892504213265</v>
      </c>
      <c r="W846" s="101">
        <v>0</v>
      </c>
      <c r="X846" s="158">
        <f t="shared" si="986"/>
        <v>0</v>
      </c>
      <c r="Y846" s="81">
        <v>255.26584667504181</v>
      </c>
      <c r="Z846" s="81">
        <v>0</v>
      </c>
      <c r="AA846" s="81">
        <f t="shared" si="987"/>
        <v>1199.4892504213265</v>
      </c>
      <c r="AB846" s="81">
        <f t="shared" si="988"/>
        <v>239.89785008426529</v>
      </c>
      <c r="AC846" s="81">
        <v>1724.4936895371072</v>
      </c>
      <c r="AD846" s="81">
        <v>911.15482331647854</v>
      </c>
      <c r="AE846" s="81">
        <v>569.11606703090479</v>
      </c>
      <c r="AF846" s="81">
        <v>0</v>
      </c>
      <c r="AG846" s="81">
        <f t="shared" si="989"/>
        <v>331.05903311628612</v>
      </c>
      <c r="AH846" s="64"/>
      <c r="AI846" s="64"/>
      <c r="AJ846" s="365">
        <v>28</v>
      </c>
      <c r="AK846" s="372" t="s">
        <v>42</v>
      </c>
      <c r="AL846" s="365"/>
      <c r="AM846" s="375" t="s">
        <v>55</v>
      </c>
      <c r="AN846" s="371" t="s">
        <v>886</v>
      </c>
      <c r="AO846" s="368">
        <f>Q846*9.5</f>
        <v>68370.887274015608</v>
      </c>
      <c r="AP846" s="368">
        <f>R846*9.5</f>
        <v>22790.295758005203</v>
      </c>
      <c r="AQ846" s="368">
        <f t="shared" ref="AQ846:AZ846" si="1008">X846*9.5</f>
        <v>0</v>
      </c>
      <c r="AR846" s="368">
        <f t="shared" si="1008"/>
        <v>2425.0255434128972</v>
      </c>
      <c r="AS846" s="368">
        <f t="shared" si="1008"/>
        <v>0</v>
      </c>
      <c r="AT846" s="368">
        <f t="shared" si="1008"/>
        <v>11395.147879002601</v>
      </c>
      <c r="AU846" s="368">
        <f t="shared" si="1008"/>
        <v>2279.0295758005204</v>
      </c>
      <c r="AV846" s="368">
        <f t="shared" si="1008"/>
        <v>16382.690050602519</v>
      </c>
      <c r="AW846" s="368">
        <f t="shared" si="1008"/>
        <v>8655.9708215065457</v>
      </c>
      <c r="AX846" s="368">
        <f t="shared" si="1008"/>
        <v>5406.6026367935956</v>
      </c>
      <c r="AY846" s="368">
        <f t="shared" si="1008"/>
        <v>0</v>
      </c>
      <c r="AZ846" s="368">
        <f t="shared" si="1008"/>
        <v>3145.060814604718</v>
      </c>
      <c r="BB846" s="64"/>
      <c r="BC846" s="66"/>
      <c r="BD846" s="66"/>
      <c r="BE846" s="66"/>
    </row>
    <row r="847" spans="2:57" s="364" customFormat="1" ht="21" customHeight="1" x14ac:dyDescent="0.2">
      <c r="B847" s="365">
        <v>29</v>
      </c>
      <c r="C847" s="372" t="s">
        <v>42</v>
      </c>
      <c r="D847" s="365">
        <v>17092</v>
      </c>
      <c r="E847" s="371" t="s">
        <v>1035</v>
      </c>
      <c r="F847" s="371" t="s">
        <v>886</v>
      </c>
      <c r="G847" s="55">
        <v>39387</v>
      </c>
      <c r="H847" s="55" t="str">
        <f t="shared" si="976"/>
        <v>17 AÑOS</v>
      </c>
      <c r="I847" s="57">
        <v>4613.4201939281784</v>
      </c>
      <c r="J847" s="57"/>
      <c r="K847" s="57"/>
      <c r="L847" s="74"/>
      <c r="M847" s="171">
        <v>4.0000000000000002E-4</v>
      </c>
      <c r="N847" s="81">
        <f t="shared" si="977"/>
        <v>184.53680775712715</v>
      </c>
      <c r="O847" s="57">
        <f t="shared" si="978"/>
        <v>4797.9570016853058</v>
      </c>
      <c r="P847" s="81">
        <f t="shared" si="979"/>
        <v>9595.9140033706117</v>
      </c>
      <c r="Q847" s="81">
        <f t="shared" si="980"/>
        <v>7196.9355025279583</v>
      </c>
      <c r="R847" s="81">
        <f t="shared" si="981"/>
        <v>2398.9785008426529</v>
      </c>
      <c r="S847" s="81">
        <f t="shared" si="982"/>
        <v>319.86380011235372</v>
      </c>
      <c r="T847" s="57">
        <f t="shared" si="983"/>
        <v>367.17165614897078</v>
      </c>
      <c r="U847" s="81">
        <f t="shared" si="984"/>
        <v>3598.4677512639792</v>
      </c>
      <c r="V847" s="57">
        <f t="shared" si="985"/>
        <v>1199.4892504213265</v>
      </c>
      <c r="W847" s="101">
        <v>0</v>
      </c>
      <c r="X847" s="158">
        <f t="shared" si="986"/>
        <v>0</v>
      </c>
      <c r="Y847" s="81">
        <v>255.26584667504181</v>
      </c>
      <c r="Z847" s="81">
        <v>0</v>
      </c>
      <c r="AA847" s="81">
        <f t="shared" si="987"/>
        <v>1199.4892504213265</v>
      </c>
      <c r="AB847" s="81">
        <f t="shared" si="988"/>
        <v>239.89785008426529</v>
      </c>
      <c r="AC847" s="81">
        <v>1724.4936895371072</v>
      </c>
      <c r="AD847" s="81">
        <v>911.15482331647854</v>
      </c>
      <c r="AE847" s="81">
        <v>569.11606703090479</v>
      </c>
      <c r="AF847" s="81">
        <v>0</v>
      </c>
      <c r="AG847" s="81">
        <f t="shared" si="989"/>
        <v>331.05903311628612</v>
      </c>
      <c r="AH847" s="64"/>
      <c r="AI847" s="64"/>
      <c r="AJ847" s="365">
        <v>29</v>
      </c>
      <c r="AK847" s="372" t="s">
        <v>42</v>
      </c>
      <c r="AL847" s="365">
        <v>17092</v>
      </c>
      <c r="AM847" s="371" t="s">
        <v>1035</v>
      </c>
      <c r="AN847" s="371" t="s">
        <v>886</v>
      </c>
      <c r="AO847" s="368">
        <f t="shared" ref="AO847:AP854" si="1009">Q847*12</f>
        <v>86363.2260303355</v>
      </c>
      <c r="AP847" s="368">
        <f t="shared" si="1009"/>
        <v>28787.742010111833</v>
      </c>
      <c r="AQ847" s="368">
        <f t="shared" ref="AQ847:AZ854" si="1010">X847*12</f>
        <v>0</v>
      </c>
      <c r="AR847" s="368">
        <f t="shared" si="1010"/>
        <v>3063.190160100502</v>
      </c>
      <c r="AS847" s="368">
        <f t="shared" si="1010"/>
        <v>0</v>
      </c>
      <c r="AT847" s="368">
        <f t="shared" si="1010"/>
        <v>14393.871005055917</v>
      </c>
      <c r="AU847" s="368">
        <f t="shared" si="1010"/>
        <v>2878.7742010111833</v>
      </c>
      <c r="AV847" s="368">
        <f t="shared" si="1010"/>
        <v>20693.924274445286</v>
      </c>
      <c r="AW847" s="368">
        <f t="shared" si="1010"/>
        <v>10933.857879797742</v>
      </c>
      <c r="AX847" s="368">
        <f t="shared" si="1010"/>
        <v>6829.3928043708574</v>
      </c>
      <c r="AY847" s="368">
        <f t="shared" si="1010"/>
        <v>0</v>
      </c>
      <c r="AZ847" s="368">
        <f t="shared" si="1010"/>
        <v>3972.7083973954332</v>
      </c>
      <c r="BB847" s="64"/>
      <c r="BC847" s="66"/>
      <c r="BD847" s="66"/>
      <c r="BE847" s="66"/>
    </row>
    <row r="848" spans="2:57" s="364" customFormat="1" ht="21" customHeight="1" x14ac:dyDescent="0.2">
      <c r="B848" s="365">
        <v>30</v>
      </c>
      <c r="C848" s="372" t="s">
        <v>42</v>
      </c>
      <c r="D848" s="365">
        <v>17094</v>
      </c>
      <c r="E848" s="371" t="s">
        <v>1036</v>
      </c>
      <c r="F848" s="371" t="s">
        <v>886</v>
      </c>
      <c r="G848" s="55">
        <v>38915</v>
      </c>
      <c r="H848" s="56" t="str">
        <f t="shared" si="976"/>
        <v>18 AÑOS</v>
      </c>
      <c r="I848" s="57">
        <v>4613.4201939281784</v>
      </c>
      <c r="J848" s="58"/>
      <c r="K848" s="58"/>
      <c r="L848" s="59"/>
      <c r="M848" s="60">
        <v>4.0000000000000002E-4</v>
      </c>
      <c r="N848" s="61">
        <f t="shared" si="977"/>
        <v>184.53680775712715</v>
      </c>
      <c r="O848" s="58">
        <f t="shared" si="978"/>
        <v>4797.9570016853058</v>
      </c>
      <c r="P848" s="61">
        <f t="shared" si="979"/>
        <v>9595.9140033706117</v>
      </c>
      <c r="Q848" s="61">
        <f t="shared" si="980"/>
        <v>7196.9355025279583</v>
      </c>
      <c r="R848" s="61">
        <f t="shared" si="981"/>
        <v>2398.9785008426529</v>
      </c>
      <c r="S848" s="61">
        <f t="shared" si="982"/>
        <v>319.86380011235372</v>
      </c>
      <c r="T848" s="58">
        <f t="shared" si="983"/>
        <v>367.17165614897078</v>
      </c>
      <c r="U848" s="61">
        <f t="shared" si="984"/>
        <v>3598.4677512639792</v>
      </c>
      <c r="V848" s="58">
        <f t="shared" si="985"/>
        <v>1199.4892504213265</v>
      </c>
      <c r="W848" s="62">
        <v>0</v>
      </c>
      <c r="X848" s="63">
        <f t="shared" si="986"/>
        <v>0</v>
      </c>
      <c r="Y848" s="61">
        <v>255.26584667504181</v>
      </c>
      <c r="Z848" s="61">
        <v>0</v>
      </c>
      <c r="AA848" s="61">
        <f t="shared" si="987"/>
        <v>1199.4892504213265</v>
      </c>
      <c r="AB848" s="61">
        <f t="shared" si="988"/>
        <v>239.89785008426529</v>
      </c>
      <c r="AC848" s="61">
        <v>1724.4936895371072</v>
      </c>
      <c r="AD848" s="61">
        <v>911.15482331647854</v>
      </c>
      <c r="AE848" s="61">
        <v>569.11606703090479</v>
      </c>
      <c r="AF848" s="61">
        <v>0</v>
      </c>
      <c r="AG848" s="61">
        <f t="shared" si="989"/>
        <v>331.05903311628612</v>
      </c>
      <c r="AH848" s="64"/>
      <c r="AI848" s="64"/>
      <c r="AJ848" s="365">
        <v>30</v>
      </c>
      <c r="AK848" s="372" t="s">
        <v>42</v>
      </c>
      <c r="AL848" s="365">
        <v>17094</v>
      </c>
      <c r="AM848" s="371" t="s">
        <v>1036</v>
      </c>
      <c r="AN848" s="371" t="s">
        <v>886</v>
      </c>
      <c r="AO848" s="368">
        <f t="shared" si="1009"/>
        <v>86363.2260303355</v>
      </c>
      <c r="AP848" s="368">
        <f t="shared" si="1009"/>
        <v>28787.742010111833</v>
      </c>
      <c r="AQ848" s="368">
        <f t="shared" si="1010"/>
        <v>0</v>
      </c>
      <c r="AR848" s="368">
        <f t="shared" si="1010"/>
        <v>3063.190160100502</v>
      </c>
      <c r="AS848" s="368">
        <f t="shared" si="1010"/>
        <v>0</v>
      </c>
      <c r="AT848" s="368">
        <f t="shared" si="1010"/>
        <v>14393.871005055917</v>
      </c>
      <c r="AU848" s="368">
        <f t="shared" si="1010"/>
        <v>2878.7742010111833</v>
      </c>
      <c r="AV848" s="368">
        <f t="shared" si="1010"/>
        <v>20693.924274445286</v>
      </c>
      <c r="AW848" s="368">
        <f t="shared" si="1010"/>
        <v>10933.857879797742</v>
      </c>
      <c r="AX848" s="368">
        <f t="shared" si="1010"/>
        <v>6829.3928043708574</v>
      </c>
      <c r="AY848" s="368">
        <f t="shared" si="1010"/>
        <v>0</v>
      </c>
      <c r="AZ848" s="368">
        <f t="shared" si="1010"/>
        <v>3972.7083973954332</v>
      </c>
      <c r="BB848" s="64"/>
      <c r="BC848" s="66"/>
      <c r="BD848" s="66"/>
      <c r="BE848" s="66"/>
    </row>
    <row r="849" spans="1:177" s="364" customFormat="1" ht="21" customHeight="1" x14ac:dyDescent="0.2">
      <c r="B849" s="365">
        <v>31</v>
      </c>
      <c r="C849" s="372" t="s">
        <v>42</v>
      </c>
      <c r="D849" s="365">
        <v>17060</v>
      </c>
      <c r="E849" s="371" t="s">
        <v>1037</v>
      </c>
      <c r="F849" s="371" t="s">
        <v>886</v>
      </c>
      <c r="G849" s="55">
        <v>37869</v>
      </c>
      <c r="H849" s="56" t="str">
        <f t="shared" si="976"/>
        <v>21 AÑOS</v>
      </c>
      <c r="I849" s="57">
        <v>4613.4201939281784</v>
      </c>
      <c r="J849" s="58"/>
      <c r="K849" s="58"/>
      <c r="L849" s="59"/>
      <c r="M849" s="60">
        <v>4.0000000000000002E-4</v>
      </c>
      <c r="N849" s="61">
        <f t="shared" si="977"/>
        <v>184.53680775712715</v>
      </c>
      <c r="O849" s="58">
        <f t="shared" si="978"/>
        <v>4797.9570016853058</v>
      </c>
      <c r="P849" s="61">
        <f t="shared" si="979"/>
        <v>9595.9140033706117</v>
      </c>
      <c r="Q849" s="61">
        <f t="shared" si="980"/>
        <v>7196.9355025279583</v>
      </c>
      <c r="R849" s="61">
        <f t="shared" si="981"/>
        <v>2398.9785008426529</v>
      </c>
      <c r="S849" s="61">
        <f t="shared" si="982"/>
        <v>319.86380011235372</v>
      </c>
      <c r="T849" s="58">
        <f t="shared" si="983"/>
        <v>367.17165614897078</v>
      </c>
      <c r="U849" s="61">
        <f t="shared" si="984"/>
        <v>3598.4677512639792</v>
      </c>
      <c r="V849" s="58">
        <f t="shared" si="985"/>
        <v>1199.4892504213265</v>
      </c>
      <c r="W849" s="62">
        <v>0</v>
      </c>
      <c r="X849" s="63">
        <f t="shared" si="986"/>
        <v>0</v>
      </c>
      <c r="Y849" s="61">
        <v>255.26584667504181</v>
      </c>
      <c r="Z849" s="61">
        <v>0</v>
      </c>
      <c r="AA849" s="61">
        <f t="shared" si="987"/>
        <v>1199.4892504213265</v>
      </c>
      <c r="AB849" s="61">
        <f t="shared" si="988"/>
        <v>239.89785008426529</v>
      </c>
      <c r="AC849" s="61">
        <v>1724.4936895371072</v>
      </c>
      <c r="AD849" s="61">
        <v>911.15482331647854</v>
      </c>
      <c r="AE849" s="61">
        <v>569.11606703090479</v>
      </c>
      <c r="AF849" s="61">
        <v>0</v>
      </c>
      <c r="AG849" s="61">
        <f t="shared" si="989"/>
        <v>331.05903311628612</v>
      </c>
      <c r="AH849" s="64"/>
      <c r="AI849" s="64"/>
      <c r="AJ849" s="365">
        <v>31</v>
      </c>
      <c r="AK849" s="372" t="s">
        <v>42</v>
      </c>
      <c r="AL849" s="365">
        <v>17060</v>
      </c>
      <c r="AM849" s="371" t="s">
        <v>1037</v>
      </c>
      <c r="AN849" s="371" t="s">
        <v>886</v>
      </c>
      <c r="AO849" s="368">
        <f t="shared" si="1009"/>
        <v>86363.2260303355</v>
      </c>
      <c r="AP849" s="368">
        <f t="shared" si="1009"/>
        <v>28787.742010111833</v>
      </c>
      <c r="AQ849" s="368">
        <f t="shared" si="1010"/>
        <v>0</v>
      </c>
      <c r="AR849" s="368">
        <f t="shared" si="1010"/>
        <v>3063.190160100502</v>
      </c>
      <c r="AS849" s="368">
        <f t="shared" si="1010"/>
        <v>0</v>
      </c>
      <c r="AT849" s="368">
        <f t="shared" si="1010"/>
        <v>14393.871005055917</v>
      </c>
      <c r="AU849" s="368">
        <f t="shared" si="1010"/>
        <v>2878.7742010111833</v>
      </c>
      <c r="AV849" s="368">
        <f t="shared" si="1010"/>
        <v>20693.924274445286</v>
      </c>
      <c r="AW849" s="368">
        <f t="shared" si="1010"/>
        <v>10933.857879797742</v>
      </c>
      <c r="AX849" s="368">
        <f t="shared" si="1010"/>
        <v>6829.3928043708574</v>
      </c>
      <c r="AY849" s="368">
        <f t="shared" si="1010"/>
        <v>0</v>
      </c>
      <c r="AZ849" s="368">
        <f t="shared" si="1010"/>
        <v>3972.7083973954332</v>
      </c>
      <c r="BB849" s="64"/>
      <c r="BC849" s="66"/>
      <c r="BD849" s="66"/>
      <c r="BE849" s="66"/>
    </row>
    <row r="850" spans="1:177" s="364" customFormat="1" ht="21" customHeight="1" x14ac:dyDescent="0.2">
      <c r="B850" s="369">
        <v>32</v>
      </c>
      <c r="C850" s="372" t="s">
        <v>42</v>
      </c>
      <c r="D850" s="377">
        <v>17169</v>
      </c>
      <c r="E850" s="371" t="s">
        <v>1038</v>
      </c>
      <c r="F850" s="371" t="s">
        <v>886</v>
      </c>
      <c r="G850" s="448">
        <v>45054</v>
      </c>
      <c r="H850" s="55" t="str">
        <f t="shared" si="976"/>
        <v>1 AÑOS</v>
      </c>
      <c r="I850" s="57">
        <v>4613.4201939281784</v>
      </c>
      <c r="J850" s="57"/>
      <c r="K850" s="57"/>
      <c r="L850" s="74"/>
      <c r="M850" s="171">
        <v>4.0000000000000002E-4</v>
      </c>
      <c r="N850" s="81">
        <f t="shared" si="977"/>
        <v>184.53680775712715</v>
      </c>
      <c r="O850" s="57">
        <f t="shared" si="978"/>
        <v>4797.9570016853058</v>
      </c>
      <c r="P850" s="81">
        <f t="shared" si="979"/>
        <v>9595.9140033706117</v>
      </c>
      <c r="Q850" s="81">
        <f t="shared" si="980"/>
        <v>7196.9355025279583</v>
      </c>
      <c r="R850" s="81">
        <f t="shared" si="981"/>
        <v>2398.9785008426529</v>
      </c>
      <c r="S850" s="81">
        <f t="shared" si="982"/>
        <v>319.86380011235372</v>
      </c>
      <c r="T850" s="57">
        <f t="shared" si="983"/>
        <v>367.17165614897078</v>
      </c>
      <c r="U850" s="81">
        <f t="shared" si="984"/>
        <v>3598.4677512639792</v>
      </c>
      <c r="V850" s="57">
        <f t="shared" si="985"/>
        <v>1199.4892504213265</v>
      </c>
      <c r="W850" s="101">
        <v>0</v>
      </c>
      <c r="X850" s="158">
        <f t="shared" si="986"/>
        <v>0</v>
      </c>
      <c r="Y850" s="81">
        <v>255.26584667504181</v>
      </c>
      <c r="Z850" s="81">
        <v>0</v>
      </c>
      <c r="AA850" s="81">
        <f t="shared" si="987"/>
        <v>1199.4892504213265</v>
      </c>
      <c r="AB850" s="81">
        <f t="shared" si="988"/>
        <v>239.89785008426529</v>
      </c>
      <c r="AC850" s="81">
        <v>1724.4936895371072</v>
      </c>
      <c r="AD850" s="81">
        <v>911.15482331647854</v>
      </c>
      <c r="AE850" s="81">
        <v>569.11606703090479</v>
      </c>
      <c r="AF850" s="81">
        <v>0</v>
      </c>
      <c r="AG850" s="81">
        <f t="shared" si="989"/>
        <v>331.05903311628612</v>
      </c>
      <c r="AH850" s="64"/>
      <c r="AI850" s="64"/>
      <c r="AJ850" s="369">
        <v>32</v>
      </c>
      <c r="AK850" s="372" t="s">
        <v>42</v>
      </c>
      <c r="AL850" s="377">
        <v>17169</v>
      </c>
      <c r="AM850" s="371" t="s">
        <v>1038</v>
      </c>
      <c r="AN850" s="371" t="s">
        <v>886</v>
      </c>
      <c r="AO850" s="395">
        <f t="shared" si="1009"/>
        <v>86363.2260303355</v>
      </c>
      <c r="AP850" s="395">
        <f t="shared" si="1009"/>
        <v>28787.742010111833</v>
      </c>
      <c r="AQ850" s="395">
        <f t="shared" si="1010"/>
        <v>0</v>
      </c>
      <c r="AR850" s="395">
        <f t="shared" si="1010"/>
        <v>3063.190160100502</v>
      </c>
      <c r="AS850" s="395">
        <f t="shared" si="1010"/>
        <v>0</v>
      </c>
      <c r="AT850" s="395">
        <f t="shared" si="1010"/>
        <v>14393.871005055917</v>
      </c>
      <c r="AU850" s="395">
        <f t="shared" si="1010"/>
        <v>2878.7742010111833</v>
      </c>
      <c r="AV850" s="395">
        <f t="shared" si="1010"/>
        <v>20693.924274445286</v>
      </c>
      <c r="AW850" s="395">
        <f t="shared" si="1010"/>
        <v>10933.857879797742</v>
      </c>
      <c r="AX850" s="395">
        <f t="shared" si="1010"/>
        <v>6829.3928043708574</v>
      </c>
      <c r="AY850" s="395">
        <f t="shared" si="1010"/>
        <v>0</v>
      </c>
      <c r="AZ850" s="395">
        <f t="shared" si="1010"/>
        <v>3972.7083973954332</v>
      </c>
      <c r="BB850" s="64"/>
      <c r="BC850" s="66"/>
      <c r="BD850" s="66"/>
      <c r="BE850" s="66"/>
    </row>
    <row r="851" spans="1:177" s="364" customFormat="1" ht="21" customHeight="1" x14ac:dyDescent="0.2">
      <c r="B851" s="365">
        <v>33</v>
      </c>
      <c r="C851" s="372" t="s">
        <v>42</v>
      </c>
      <c r="D851" s="365">
        <v>17175</v>
      </c>
      <c r="E851" s="364" t="s">
        <v>1039</v>
      </c>
      <c r="F851" s="371" t="s">
        <v>886</v>
      </c>
      <c r="G851" s="55">
        <v>45505</v>
      </c>
      <c r="H851" s="56" t="str">
        <f t="shared" si="976"/>
        <v>0 AÑOS</v>
      </c>
      <c r="I851" s="57">
        <v>4613.4201939281784</v>
      </c>
      <c r="J851" s="58"/>
      <c r="K851" s="58"/>
      <c r="L851" s="59"/>
      <c r="M851" s="60">
        <v>4.0000000000000002E-4</v>
      </c>
      <c r="N851" s="61">
        <f t="shared" si="977"/>
        <v>184.53680775712715</v>
      </c>
      <c r="O851" s="58">
        <f t="shared" si="978"/>
        <v>4797.9570016853058</v>
      </c>
      <c r="P851" s="61">
        <f>O851*2</f>
        <v>9595.9140033706117</v>
      </c>
      <c r="Q851" s="61">
        <f>P851*0.75</f>
        <v>7196.9355025279583</v>
      </c>
      <c r="R851" s="61">
        <f>P851*0.25</f>
        <v>2398.9785008426529</v>
      </c>
      <c r="S851" s="61">
        <f>(P851/30)</f>
        <v>319.86380011235372</v>
      </c>
      <c r="T851" s="58">
        <f t="shared" si="983"/>
        <v>367.17165614897078</v>
      </c>
      <c r="U851" s="61">
        <f>O851*0.75</f>
        <v>3598.4677512639792</v>
      </c>
      <c r="V851" s="58">
        <f>O851*0.25</f>
        <v>1199.4892504213265</v>
      </c>
      <c r="W851" s="62">
        <v>0</v>
      </c>
      <c r="X851" s="63">
        <f t="shared" si="986"/>
        <v>0</v>
      </c>
      <c r="Y851" s="61">
        <v>255.26584667504181</v>
      </c>
      <c r="Z851" s="61">
        <v>0</v>
      </c>
      <c r="AA851" s="61">
        <f t="shared" si="987"/>
        <v>1199.4892504213265</v>
      </c>
      <c r="AB851" s="61">
        <f t="shared" si="988"/>
        <v>239.89785008426529</v>
      </c>
      <c r="AC851" s="61">
        <v>1724.4936895371072</v>
      </c>
      <c r="AD851" s="61">
        <v>911.15482331647854</v>
      </c>
      <c r="AE851" s="61">
        <v>569.11606703090479</v>
      </c>
      <c r="AF851" s="61">
        <v>0</v>
      </c>
      <c r="AG851" s="61">
        <f t="shared" si="989"/>
        <v>331.05903311628612</v>
      </c>
      <c r="AH851" s="64"/>
      <c r="AI851" s="64"/>
      <c r="AJ851" s="365">
        <v>33</v>
      </c>
      <c r="AK851" s="372" t="s">
        <v>42</v>
      </c>
      <c r="AL851" s="365">
        <v>17175</v>
      </c>
      <c r="AM851" s="364" t="s">
        <v>1039</v>
      </c>
      <c r="AN851" s="371" t="s">
        <v>886</v>
      </c>
      <c r="AO851" s="368">
        <f t="shared" si="1009"/>
        <v>86363.2260303355</v>
      </c>
      <c r="AP851" s="368">
        <f t="shared" si="1009"/>
        <v>28787.742010111833</v>
      </c>
      <c r="AQ851" s="368">
        <f t="shared" si="1010"/>
        <v>0</v>
      </c>
      <c r="AR851" s="368">
        <f t="shared" si="1010"/>
        <v>3063.190160100502</v>
      </c>
      <c r="AS851" s="368">
        <f t="shared" si="1010"/>
        <v>0</v>
      </c>
      <c r="AT851" s="368">
        <f t="shared" si="1010"/>
        <v>14393.871005055917</v>
      </c>
      <c r="AU851" s="368">
        <f t="shared" si="1010"/>
        <v>2878.7742010111833</v>
      </c>
      <c r="AV851" s="368">
        <f t="shared" si="1010"/>
        <v>20693.924274445286</v>
      </c>
      <c r="AW851" s="368">
        <f t="shared" si="1010"/>
        <v>10933.857879797742</v>
      </c>
      <c r="AX851" s="368">
        <f t="shared" si="1010"/>
        <v>6829.3928043708574</v>
      </c>
      <c r="AY851" s="368">
        <f t="shared" si="1010"/>
        <v>0</v>
      </c>
      <c r="AZ851" s="368">
        <f t="shared" si="1010"/>
        <v>3972.7083973954332</v>
      </c>
      <c r="BB851" s="64"/>
      <c r="BC851" s="66"/>
      <c r="BD851" s="66"/>
      <c r="BE851" s="66"/>
    </row>
    <row r="852" spans="1:177" s="364" customFormat="1" ht="21" customHeight="1" x14ac:dyDescent="0.2">
      <c r="B852" s="365">
        <v>34</v>
      </c>
      <c r="C852" s="372" t="s">
        <v>42</v>
      </c>
      <c r="D852" s="365">
        <v>17124</v>
      </c>
      <c r="E852" s="371" t="s">
        <v>1040</v>
      </c>
      <c r="F852" s="371" t="s">
        <v>1041</v>
      </c>
      <c r="G852" s="55">
        <v>41321</v>
      </c>
      <c r="H852" s="56" t="str">
        <f t="shared" si="976"/>
        <v>11 AÑOS</v>
      </c>
      <c r="I852" s="57">
        <v>4613.4201939281784</v>
      </c>
      <c r="J852" s="58"/>
      <c r="K852" s="58"/>
      <c r="L852" s="59"/>
      <c r="M852" s="60">
        <v>4.0000000000000002E-4</v>
      </c>
      <c r="N852" s="61">
        <f t="shared" si="977"/>
        <v>184.53680775712715</v>
      </c>
      <c r="O852" s="58">
        <f t="shared" si="978"/>
        <v>4797.9570016853058</v>
      </c>
      <c r="P852" s="61">
        <f t="shared" si="979"/>
        <v>9595.9140033706117</v>
      </c>
      <c r="Q852" s="61">
        <f t="shared" si="980"/>
        <v>7196.9355025279583</v>
      </c>
      <c r="R852" s="61">
        <f t="shared" si="981"/>
        <v>2398.9785008426529</v>
      </c>
      <c r="S852" s="61">
        <f t="shared" si="982"/>
        <v>319.86380011235372</v>
      </c>
      <c r="T852" s="58">
        <f t="shared" si="983"/>
        <v>367.17165614897078</v>
      </c>
      <c r="U852" s="61">
        <f t="shared" si="984"/>
        <v>3598.4677512639792</v>
      </c>
      <c r="V852" s="58">
        <f t="shared" si="985"/>
        <v>1199.4892504213265</v>
      </c>
      <c r="W852" s="62">
        <v>0</v>
      </c>
      <c r="X852" s="63">
        <f t="shared" si="986"/>
        <v>0</v>
      </c>
      <c r="Y852" s="61">
        <v>255.26584667504181</v>
      </c>
      <c r="Z852" s="61">
        <v>0</v>
      </c>
      <c r="AA852" s="61">
        <f t="shared" si="987"/>
        <v>1199.4892504213265</v>
      </c>
      <c r="AB852" s="61">
        <f t="shared" si="988"/>
        <v>239.89785008426529</v>
      </c>
      <c r="AC852" s="61">
        <v>1724.4936895371072</v>
      </c>
      <c r="AD852" s="61">
        <v>911.15482331647854</v>
      </c>
      <c r="AE852" s="61">
        <v>569.11606703090479</v>
      </c>
      <c r="AF852" s="61">
        <v>0</v>
      </c>
      <c r="AG852" s="61">
        <f t="shared" si="989"/>
        <v>331.05903311628612</v>
      </c>
      <c r="AH852" s="64"/>
      <c r="AI852" s="64"/>
      <c r="AJ852" s="365">
        <v>34</v>
      </c>
      <c r="AK852" s="372" t="s">
        <v>42</v>
      </c>
      <c r="AL852" s="365">
        <v>17124</v>
      </c>
      <c r="AM852" s="371" t="s">
        <v>1040</v>
      </c>
      <c r="AN852" s="371" t="s">
        <v>1041</v>
      </c>
      <c r="AO852" s="368">
        <f t="shared" si="1009"/>
        <v>86363.2260303355</v>
      </c>
      <c r="AP852" s="368">
        <f t="shared" si="1009"/>
        <v>28787.742010111833</v>
      </c>
      <c r="AQ852" s="368">
        <f t="shared" si="1010"/>
        <v>0</v>
      </c>
      <c r="AR852" s="368">
        <f t="shared" si="1010"/>
        <v>3063.190160100502</v>
      </c>
      <c r="AS852" s="368">
        <f t="shared" si="1010"/>
        <v>0</v>
      </c>
      <c r="AT852" s="368">
        <f t="shared" si="1010"/>
        <v>14393.871005055917</v>
      </c>
      <c r="AU852" s="368">
        <f t="shared" si="1010"/>
        <v>2878.7742010111833</v>
      </c>
      <c r="AV852" s="368">
        <f t="shared" si="1010"/>
        <v>20693.924274445286</v>
      </c>
      <c r="AW852" s="368">
        <f t="shared" si="1010"/>
        <v>10933.857879797742</v>
      </c>
      <c r="AX852" s="368">
        <f t="shared" si="1010"/>
        <v>6829.3928043708574</v>
      </c>
      <c r="AY852" s="368">
        <f t="shared" si="1010"/>
        <v>0</v>
      </c>
      <c r="AZ852" s="368">
        <f t="shared" si="1010"/>
        <v>3972.7083973954332</v>
      </c>
      <c r="BB852" s="64"/>
      <c r="BC852" s="66"/>
      <c r="BD852" s="66"/>
      <c r="BE852" s="66"/>
    </row>
    <row r="853" spans="1:177" s="364" customFormat="1" ht="21" customHeight="1" x14ac:dyDescent="0.2">
      <c r="B853" s="365">
        <v>35</v>
      </c>
      <c r="C853" s="372" t="s">
        <v>42</v>
      </c>
      <c r="D853" s="365">
        <v>17152</v>
      </c>
      <c r="E853" s="372" t="s">
        <v>1042</v>
      </c>
      <c r="F853" s="371" t="s">
        <v>1041</v>
      </c>
      <c r="G853" s="55">
        <v>43297</v>
      </c>
      <c r="H853" s="56" t="str">
        <f t="shared" si="976"/>
        <v>6 AÑOS</v>
      </c>
      <c r="I853" s="57">
        <v>4613.4201939281784</v>
      </c>
      <c r="J853" s="58"/>
      <c r="K853" s="58"/>
      <c r="L853" s="59"/>
      <c r="M853" s="60">
        <v>4.0000000000000002E-4</v>
      </c>
      <c r="N853" s="61">
        <f t="shared" si="977"/>
        <v>184.53680775712715</v>
      </c>
      <c r="O853" s="58">
        <f t="shared" si="978"/>
        <v>4797.9570016853058</v>
      </c>
      <c r="P853" s="61">
        <f t="shared" si="979"/>
        <v>9595.9140033706117</v>
      </c>
      <c r="Q853" s="61">
        <f t="shared" si="980"/>
        <v>7196.9355025279583</v>
      </c>
      <c r="R853" s="61">
        <f t="shared" si="981"/>
        <v>2398.9785008426529</v>
      </c>
      <c r="S853" s="61">
        <f t="shared" si="982"/>
        <v>319.86380011235372</v>
      </c>
      <c r="T853" s="58">
        <f t="shared" si="983"/>
        <v>367.17165614897078</v>
      </c>
      <c r="U853" s="61">
        <f t="shared" si="984"/>
        <v>3598.4677512639792</v>
      </c>
      <c r="V853" s="58">
        <f t="shared" si="985"/>
        <v>1199.4892504213265</v>
      </c>
      <c r="W853" s="62">
        <v>0</v>
      </c>
      <c r="X853" s="63">
        <f t="shared" si="986"/>
        <v>0</v>
      </c>
      <c r="Y853" s="61">
        <v>255.26584667504181</v>
      </c>
      <c r="Z853" s="61">
        <v>0</v>
      </c>
      <c r="AA853" s="61">
        <f t="shared" si="987"/>
        <v>1199.4892504213265</v>
      </c>
      <c r="AB853" s="61">
        <f t="shared" si="988"/>
        <v>239.89785008426529</v>
      </c>
      <c r="AC853" s="61">
        <v>1724.4936895371072</v>
      </c>
      <c r="AD853" s="61">
        <v>911.15482331647854</v>
      </c>
      <c r="AE853" s="61">
        <v>569.11606703090479</v>
      </c>
      <c r="AF853" s="61">
        <v>0</v>
      </c>
      <c r="AG853" s="61">
        <f t="shared" si="989"/>
        <v>331.05903311628612</v>
      </c>
      <c r="AH853" s="64"/>
      <c r="AI853" s="64"/>
      <c r="AJ853" s="365">
        <v>35</v>
      </c>
      <c r="AK853" s="372" t="s">
        <v>42</v>
      </c>
      <c r="AL853" s="365">
        <v>17152</v>
      </c>
      <c r="AM853" s="372" t="s">
        <v>1042</v>
      </c>
      <c r="AN853" s="371" t="s">
        <v>1041</v>
      </c>
      <c r="AO853" s="368">
        <f t="shared" si="1009"/>
        <v>86363.2260303355</v>
      </c>
      <c r="AP853" s="368">
        <f t="shared" si="1009"/>
        <v>28787.742010111833</v>
      </c>
      <c r="AQ853" s="368">
        <f t="shared" si="1010"/>
        <v>0</v>
      </c>
      <c r="AR853" s="368">
        <f t="shared" si="1010"/>
        <v>3063.190160100502</v>
      </c>
      <c r="AS853" s="368">
        <f t="shared" si="1010"/>
        <v>0</v>
      </c>
      <c r="AT853" s="368">
        <f t="shared" si="1010"/>
        <v>14393.871005055917</v>
      </c>
      <c r="AU853" s="368">
        <f t="shared" si="1010"/>
        <v>2878.7742010111833</v>
      </c>
      <c r="AV853" s="368">
        <f t="shared" si="1010"/>
        <v>20693.924274445286</v>
      </c>
      <c r="AW853" s="368">
        <f t="shared" si="1010"/>
        <v>10933.857879797742</v>
      </c>
      <c r="AX853" s="368">
        <f t="shared" si="1010"/>
        <v>6829.3928043708574</v>
      </c>
      <c r="AY853" s="368">
        <f t="shared" si="1010"/>
        <v>0</v>
      </c>
      <c r="AZ853" s="368">
        <f t="shared" si="1010"/>
        <v>3972.7083973954332</v>
      </c>
      <c r="BB853" s="64"/>
      <c r="BC853" s="66"/>
      <c r="BD853" s="66"/>
      <c r="BE853" s="66"/>
    </row>
    <row r="854" spans="1:177" s="364" customFormat="1" ht="21" customHeight="1" x14ac:dyDescent="0.2">
      <c r="B854" s="365">
        <v>36</v>
      </c>
      <c r="C854" s="372" t="s">
        <v>42</v>
      </c>
      <c r="D854" s="365">
        <v>17148</v>
      </c>
      <c r="E854" s="372" t="s">
        <v>1043</v>
      </c>
      <c r="F854" s="371" t="s">
        <v>1041</v>
      </c>
      <c r="G854" s="55">
        <v>42882</v>
      </c>
      <c r="H854" s="56" t="str">
        <f t="shared" si="976"/>
        <v>7 AÑOS</v>
      </c>
      <c r="I854" s="57">
        <v>4613.4201939281784</v>
      </c>
      <c r="J854" s="58"/>
      <c r="K854" s="58"/>
      <c r="L854" s="59"/>
      <c r="M854" s="60">
        <v>4.0000000000000002E-4</v>
      </c>
      <c r="N854" s="61">
        <f t="shared" si="977"/>
        <v>184.53680775712715</v>
      </c>
      <c r="O854" s="58">
        <f t="shared" si="978"/>
        <v>4797.9570016853058</v>
      </c>
      <c r="P854" s="61">
        <f t="shared" si="979"/>
        <v>9595.9140033706117</v>
      </c>
      <c r="Q854" s="61">
        <f t="shared" si="980"/>
        <v>7196.9355025279583</v>
      </c>
      <c r="R854" s="61">
        <f t="shared" si="981"/>
        <v>2398.9785008426529</v>
      </c>
      <c r="S854" s="61">
        <f t="shared" si="982"/>
        <v>319.86380011235372</v>
      </c>
      <c r="T854" s="58">
        <f t="shared" si="983"/>
        <v>367.17165614897078</v>
      </c>
      <c r="U854" s="61">
        <f t="shared" si="984"/>
        <v>3598.4677512639792</v>
      </c>
      <c r="V854" s="58">
        <f t="shared" si="985"/>
        <v>1199.4892504213265</v>
      </c>
      <c r="W854" s="62">
        <v>0</v>
      </c>
      <c r="X854" s="63">
        <f t="shared" si="986"/>
        <v>0</v>
      </c>
      <c r="Y854" s="61">
        <v>255.26584667504181</v>
      </c>
      <c r="Z854" s="61">
        <v>0</v>
      </c>
      <c r="AA854" s="61">
        <f t="shared" si="987"/>
        <v>1199.4892504213265</v>
      </c>
      <c r="AB854" s="61">
        <f t="shared" si="988"/>
        <v>239.89785008426529</v>
      </c>
      <c r="AC854" s="61">
        <v>1724.4936895371072</v>
      </c>
      <c r="AD854" s="61">
        <v>911.15482331647854</v>
      </c>
      <c r="AE854" s="61">
        <v>569.11606703090479</v>
      </c>
      <c r="AF854" s="61">
        <v>0</v>
      </c>
      <c r="AG854" s="61">
        <f t="shared" si="989"/>
        <v>331.05903311628612</v>
      </c>
      <c r="AH854" s="64"/>
      <c r="AI854" s="64"/>
      <c r="AJ854" s="365">
        <v>36</v>
      </c>
      <c r="AK854" s="372" t="s">
        <v>42</v>
      </c>
      <c r="AL854" s="365">
        <v>17148</v>
      </c>
      <c r="AM854" s="372" t="s">
        <v>1043</v>
      </c>
      <c r="AN854" s="371" t="s">
        <v>1041</v>
      </c>
      <c r="AO854" s="368">
        <f t="shared" si="1009"/>
        <v>86363.2260303355</v>
      </c>
      <c r="AP854" s="368">
        <f t="shared" si="1009"/>
        <v>28787.742010111833</v>
      </c>
      <c r="AQ854" s="368">
        <f t="shared" si="1010"/>
        <v>0</v>
      </c>
      <c r="AR854" s="368">
        <f t="shared" si="1010"/>
        <v>3063.190160100502</v>
      </c>
      <c r="AS854" s="368">
        <f t="shared" si="1010"/>
        <v>0</v>
      </c>
      <c r="AT854" s="368">
        <f t="shared" si="1010"/>
        <v>14393.871005055917</v>
      </c>
      <c r="AU854" s="368">
        <f t="shared" si="1010"/>
        <v>2878.7742010111833</v>
      </c>
      <c r="AV854" s="368">
        <f t="shared" si="1010"/>
        <v>20693.924274445286</v>
      </c>
      <c r="AW854" s="368">
        <f t="shared" si="1010"/>
        <v>10933.857879797742</v>
      </c>
      <c r="AX854" s="368">
        <f t="shared" si="1010"/>
        <v>6829.3928043708574</v>
      </c>
      <c r="AY854" s="368">
        <f t="shared" si="1010"/>
        <v>0</v>
      </c>
      <c r="AZ854" s="368">
        <f t="shared" si="1010"/>
        <v>3972.7083973954332</v>
      </c>
      <c r="BB854" s="64"/>
      <c r="BC854" s="66"/>
      <c r="BD854" s="66"/>
      <c r="BE854" s="66"/>
    </row>
    <row r="855" spans="1:177" s="364" customFormat="1" ht="21" customHeight="1" x14ac:dyDescent="0.2">
      <c r="B855" s="369">
        <v>37</v>
      </c>
      <c r="C855" s="372" t="s">
        <v>42</v>
      </c>
      <c r="D855" s="396"/>
      <c r="E855" s="375" t="s">
        <v>55</v>
      </c>
      <c r="F855" s="371" t="s">
        <v>1041</v>
      </c>
      <c r="G855" s="396"/>
      <c r="H855" s="56"/>
      <c r="I855" s="57">
        <v>4613.4201939281784</v>
      </c>
      <c r="J855" s="58"/>
      <c r="K855" s="58"/>
      <c r="L855" s="59"/>
      <c r="M855" s="60">
        <v>4.0000000000000002E-4</v>
      </c>
      <c r="N855" s="61">
        <f t="shared" si="977"/>
        <v>184.53680775712715</v>
      </c>
      <c r="O855" s="58">
        <f t="shared" si="978"/>
        <v>4797.9570016853058</v>
      </c>
      <c r="P855" s="61">
        <f>O855*2</f>
        <v>9595.9140033706117</v>
      </c>
      <c r="Q855" s="61">
        <f>P855*0.75</f>
        <v>7196.9355025279583</v>
      </c>
      <c r="R855" s="61">
        <f>P855*0.25</f>
        <v>2398.9785008426529</v>
      </c>
      <c r="S855" s="61">
        <f>(P855/30)</f>
        <v>319.86380011235372</v>
      </c>
      <c r="T855" s="58">
        <f t="shared" si="983"/>
        <v>367.17165614897078</v>
      </c>
      <c r="U855" s="61">
        <f>O855*0.75</f>
        <v>3598.4677512639792</v>
      </c>
      <c r="V855" s="58">
        <f>O855*0.25</f>
        <v>1199.4892504213265</v>
      </c>
      <c r="W855" s="62">
        <v>0</v>
      </c>
      <c r="X855" s="63">
        <f t="shared" si="986"/>
        <v>0</v>
      </c>
      <c r="Y855" s="61">
        <v>255.26584667504181</v>
      </c>
      <c r="Z855" s="61">
        <v>0</v>
      </c>
      <c r="AA855" s="61">
        <f t="shared" si="987"/>
        <v>1199.4892504213265</v>
      </c>
      <c r="AB855" s="61">
        <f t="shared" si="988"/>
        <v>239.89785008426529</v>
      </c>
      <c r="AC855" s="61">
        <v>1724.4936895371072</v>
      </c>
      <c r="AD855" s="61">
        <v>911.15482331647854</v>
      </c>
      <c r="AE855" s="61">
        <v>569.11606703090479</v>
      </c>
      <c r="AF855" s="61">
        <v>0</v>
      </c>
      <c r="AG855" s="61">
        <f t="shared" si="989"/>
        <v>331.05903311628612</v>
      </c>
      <c r="AH855" s="64"/>
      <c r="AI855" s="64"/>
      <c r="AJ855" s="369">
        <v>37</v>
      </c>
      <c r="AK855" s="372" t="s">
        <v>42</v>
      </c>
      <c r="AL855" s="396"/>
      <c r="AM855" s="375" t="s">
        <v>55</v>
      </c>
      <c r="AN855" s="371" t="s">
        <v>1041</v>
      </c>
      <c r="AO855" s="368">
        <f>Q855*4.5</f>
        <v>32386.209761375812</v>
      </c>
      <c r="AP855" s="368">
        <f>R855*4.5</f>
        <v>10795.403253791937</v>
      </c>
      <c r="AQ855" s="368">
        <f t="shared" ref="AQ855:AZ855" si="1011">X855*4.5</f>
        <v>0</v>
      </c>
      <c r="AR855" s="368">
        <f t="shared" si="1011"/>
        <v>1148.6963100376881</v>
      </c>
      <c r="AS855" s="368">
        <f t="shared" si="1011"/>
        <v>0</v>
      </c>
      <c r="AT855" s="368">
        <f t="shared" si="1011"/>
        <v>5397.7016268959687</v>
      </c>
      <c r="AU855" s="368">
        <f t="shared" si="1011"/>
        <v>1079.5403253791937</v>
      </c>
      <c r="AV855" s="368">
        <f t="shared" si="1011"/>
        <v>7760.2216029169822</v>
      </c>
      <c r="AW855" s="368">
        <f t="shared" si="1011"/>
        <v>4100.1967049241539</v>
      </c>
      <c r="AX855" s="368">
        <f t="shared" si="1011"/>
        <v>2561.0223016390714</v>
      </c>
      <c r="AY855" s="368">
        <f t="shared" si="1011"/>
        <v>0</v>
      </c>
      <c r="AZ855" s="368">
        <f t="shared" si="1011"/>
        <v>1489.7656490232876</v>
      </c>
      <c r="BB855" s="64"/>
      <c r="BC855" s="66"/>
      <c r="BD855" s="66"/>
      <c r="BE855" s="66"/>
    </row>
    <row r="856" spans="1:177" s="364" customFormat="1" ht="21" customHeight="1" x14ac:dyDescent="0.2">
      <c r="B856" s="365">
        <v>38</v>
      </c>
      <c r="C856" s="372" t="s">
        <v>42</v>
      </c>
      <c r="D856" s="365"/>
      <c r="E856" s="375" t="s">
        <v>55</v>
      </c>
      <c r="F856" s="371" t="s">
        <v>1044</v>
      </c>
      <c r="G856" s="55"/>
      <c r="H856" s="56"/>
      <c r="I856" s="57">
        <v>3645.8352743228638</v>
      </c>
      <c r="J856" s="58"/>
      <c r="K856" s="58"/>
      <c r="L856" s="59"/>
      <c r="M856" s="60">
        <v>4.0000000000000002E-4</v>
      </c>
      <c r="N856" s="61">
        <f t="shared" si="977"/>
        <v>145.83341097291455</v>
      </c>
      <c r="O856" s="58">
        <f t="shared" si="978"/>
        <v>3791.6686852957782</v>
      </c>
      <c r="P856" s="61">
        <f t="shared" si="979"/>
        <v>7583.3373705915565</v>
      </c>
      <c r="Q856" s="61">
        <f t="shared" si="980"/>
        <v>5687.5030279436669</v>
      </c>
      <c r="R856" s="61">
        <f t="shared" si="981"/>
        <v>1895.8343426478891</v>
      </c>
      <c r="S856" s="61">
        <f t="shared" si="982"/>
        <v>252.77791235305187</v>
      </c>
      <c r="T856" s="58">
        <f t="shared" si="983"/>
        <v>290.16376559006824</v>
      </c>
      <c r="U856" s="61">
        <f t="shared" si="984"/>
        <v>2843.7515139718334</v>
      </c>
      <c r="V856" s="58">
        <f t="shared" si="985"/>
        <v>947.91717132394456</v>
      </c>
      <c r="W856" s="62">
        <v>0</v>
      </c>
      <c r="X856" s="63">
        <f t="shared" si="986"/>
        <v>0</v>
      </c>
      <c r="Y856" s="61">
        <v>40.282113788394724</v>
      </c>
      <c r="Z856" s="61">
        <v>0</v>
      </c>
      <c r="AA856" s="61">
        <f t="shared" si="987"/>
        <v>947.91717132394444</v>
      </c>
      <c r="AB856" s="61">
        <f t="shared" si="988"/>
        <v>189.58343426478891</v>
      </c>
      <c r="AC856" s="61">
        <v>1477.8285370671611</v>
      </c>
      <c r="AD856" s="61">
        <v>693.97016997348658</v>
      </c>
      <c r="AE856" s="61">
        <v>449.75383666460579</v>
      </c>
      <c r="AF856" s="61">
        <v>0</v>
      </c>
      <c r="AG856" s="61">
        <f t="shared" si="989"/>
        <v>261.62513928540869</v>
      </c>
      <c r="AH856" s="64"/>
      <c r="AI856" s="64"/>
      <c r="AJ856" s="365">
        <v>38</v>
      </c>
      <c r="AK856" s="372" t="s">
        <v>42</v>
      </c>
      <c r="AL856" s="365"/>
      <c r="AM856" s="375" t="s">
        <v>55</v>
      </c>
      <c r="AN856" s="371" t="s">
        <v>1044</v>
      </c>
      <c r="AO856" s="368">
        <f>Q856*9.5</f>
        <v>54031.278765464835</v>
      </c>
      <c r="AP856" s="368">
        <f>R856*9.5</f>
        <v>18010.426255154947</v>
      </c>
      <c r="AQ856" s="368">
        <f t="shared" ref="AQ856:AZ857" si="1012">X856*9.5</f>
        <v>0</v>
      </c>
      <c r="AR856" s="368">
        <f t="shared" si="1012"/>
        <v>382.68008098974985</v>
      </c>
      <c r="AS856" s="368">
        <f t="shared" si="1012"/>
        <v>0</v>
      </c>
      <c r="AT856" s="368">
        <f t="shared" si="1012"/>
        <v>9005.2131275774718</v>
      </c>
      <c r="AU856" s="368">
        <f t="shared" si="1012"/>
        <v>1801.0426255154946</v>
      </c>
      <c r="AV856" s="368">
        <f t="shared" si="1012"/>
        <v>14039.37110213803</v>
      </c>
      <c r="AW856" s="368">
        <f t="shared" si="1012"/>
        <v>6592.7166147481221</v>
      </c>
      <c r="AX856" s="368">
        <f t="shared" si="1012"/>
        <v>4272.6614483137546</v>
      </c>
      <c r="AY856" s="368">
        <f t="shared" si="1012"/>
        <v>0</v>
      </c>
      <c r="AZ856" s="368">
        <f t="shared" si="1012"/>
        <v>2485.4388232113824</v>
      </c>
      <c r="BB856" s="64"/>
      <c r="BC856" s="66"/>
      <c r="BD856" s="66"/>
      <c r="BE856" s="66"/>
    </row>
    <row r="857" spans="1:177" s="364" customFormat="1" ht="21" customHeight="1" x14ac:dyDescent="0.2">
      <c r="B857" s="365">
        <v>39</v>
      </c>
      <c r="C857" s="372" t="s">
        <v>42</v>
      </c>
      <c r="D857" s="396"/>
      <c r="E857" s="375" t="s">
        <v>55</v>
      </c>
      <c r="F857" s="371" t="s">
        <v>1044</v>
      </c>
      <c r="G857" s="396"/>
      <c r="H857" s="56"/>
      <c r="I857" s="57">
        <v>3645.8352743228638</v>
      </c>
      <c r="J857" s="58"/>
      <c r="K857" s="58"/>
      <c r="L857" s="59"/>
      <c r="M857" s="60">
        <v>4.0000000000000002E-4</v>
      </c>
      <c r="N857" s="61">
        <f t="shared" si="977"/>
        <v>145.83341097291455</v>
      </c>
      <c r="O857" s="58">
        <f t="shared" si="978"/>
        <v>3791.6686852957782</v>
      </c>
      <c r="P857" s="61">
        <f t="shared" si="979"/>
        <v>7583.3373705915565</v>
      </c>
      <c r="Q857" s="61">
        <f t="shared" si="980"/>
        <v>5687.5030279436669</v>
      </c>
      <c r="R857" s="61">
        <f t="shared" si="981"/>
        <v>1895.8343426478891</v>
      </c>
      <c r="S857" s="61">
        <f t="shared" si="982"/>
        <v>252.77791235305187</v>
      </c>
      <c r="T857" s="58">
        <f t="shared" si="983"/>
        <v>290.16376559006824</v>
      </c>
      <c r="U857" s="61">
        <f t="shared" si="984"/>
        <v>2843.7515139718334</v>
      </c>
      <c r="V857" s="58">
        <f t="shared" si="985"/>
        <v>947.91717132394456</v>
      </c>
      <c r="W857" s="62">
        <v>0</v>
      </c>
      <c r="X857" s="63">
        <f t="shared" si="986"/>
        <v>0</v>
      </c>
      <c r="Y857" s="61">
        <v>40.282113788394724</v>
      </c>
      <c r="Z857" s="61">
        <v>0</v>
      </c>
      <c r="AA857" s="61">
        <f t="shared" si="987"/>
        <v>947.91717132394444</v>
      </c>
      <c r="AB857" s="61">
        <f t="shared" si="988"/>
        <v>189.58343426478891</v>
      </c>
      <c r="AC857" s="61">
        <v>1477.8285370671611</v>
      </c>
      <c r="AD857" s="61">
        <v>693.97016997348658</v>
      </c>
      <c r="AE857" s="61">
        <v>449.75383666460579</v>
      </c>
      <c r="AF857" s="61">
        <v>0</v>
      </c>
      <c r="AG857" s="61">
        <f t="shared" si="989"/>
        <v>261.62513928540869</v>
      </c>
      <c r="AH857" s="64"/>
      <c r="AI857" s="64"/>
      <c r="AJ857" s="365">
        <v>39</v>
      </c>
      <c r="AK857" s="372" t="s">
        <v>42</v>
      </c>
      <c r="AL857" s="396"/>
      <c r="AM857" s="375" t="s">
        <v>55</v>
      </c>
      <c r="AN857" s="371" t="s">
        <v>1044</v>
      </c>
      <c r="AO857" s="368">
        <f>Q857*9.5</f>
        <v>54031.278765464835</v>
      </c>
      <c r="AP857" s="368">
        <f>R857*9.5</f>
        <v>18010.426255154947</v>
      </c>
      <c r="AQ857" s="368">
        <f t="shared" si="1012"/>
        <v>0</v>
      </c>
      <c r="AR857" s="368">
        <f t="shared" si="1012"/>
        <v>382.68008098974985</v>
      </c>
      <c r="AS857" s="368">
        <f t="shared" si="1012"/>
        <v>0</v>
      </c>
      <c r="AT857" s="368">
        <f t="shared" si="1012"/>
        <v>9005.2131275774718</v>
      </c>
      <c r="AU857" s="368">
        <f t="shared" si="1012"/>
        <v>1801.0426255154946</v>
      </c>
      <c r="AV857" s="368">
        <f t="shared" si="1012"/>
        <v>14039.37110213803</v>
      </c>
      <c r="AW857" s="368">
        <f t="shared" si="1012"/>
        <v>6592.7166147481221</v>
      </c>
      <c r="AX857" s="368">
        <f t="shared" si="1012"/>
        <v>4272.6614483137546</v>
      </c>
      <c r="AY857" s="368">
        <f t="shared" si="1012"/>
        <v>0</v>
      </c>
      <c r="AZ857" s="368">
        <f t="shared" si="1012"/>
        <v>2485.4388232113824</v>
      </c>
      <c r="BB857" s="64"/>
      <c r="BC857" s="66"/>
      <c r="BD857" s="66"/>
      <c r="BE857" s="66"/>
    </row>
    <row r="858" spans="1:177" s="364" customFormat="1" ht="21" customHeight="1" x14ac:dyDescent="0.2">
      <c r="B858" s="365">
        <v>40</v>
      </c>
      <c r="C858" s="372" t="s">
        <v>42</v>
      </c>
      <c r="D858" s="365">
        <v>17132</v>
      </c>
      <c r="E858" s="371" t="s">
        <v>1045</v>
      </c>
      <c r="F858" s="371" t="s">
        <v>1044</v>
      </c>
      <c r="G858" s="55">
        <v>41550</v>
      </c>
      <c r="H858" s="56" t="str">
        <f t="shared" si="976"/>
        <v>11 AÑOS</v>
      </c>
      <c r="I858" s="57">
        <v>3645.8352743228638</v>
      </c>
      <c r="J858" s="58"/>
      <c r="K858" s="58"/>
      <c r="L858" s="59"/>
      <c r="M858" s="60">
        <v>4.0000000000000002E-4</v>
      </c>
      <c r="N858" s="61">
        <f t="shared" si="977"/>
        <v>145.83341097291455</v>
      </c>
      <c r="O858" s="58">
        <f t="shared" si="978"/>
        <v>3791.6686852957782</v>
      </c>
      <c r="P858" s="61">
        <f t="shared" si="979"/>
        <v>7583.3373705915565</v>
      </c>
      <c r="Q858" s="61">
        <f t="shared" si="980"/>
        <v>5687.5030279436669</v>
      </c>
      <c r="R858" s="61">
        <f t="shared" si="981"/>
        <v>1895.8343426478891</v>
      </c>
      <c r="S858" s="61">
        <f t="shared" si="982"/>
        <v>252.77791235305187</v>
      </c>
      <c r="T858" s="58">
        <f t="shared" si="983"/>
        <v>290.16376559006824</v>
      </c>
      <c r="U858" s="61">
        <f t="shared" si="984"/>
        <v>2843.7515139718334</v>
      </c>
      <c r="V858" s="58">
        <f t="shared" si="985"/>
        <v>947.91717132394456</v>
      </c>
      <c r="W858" s="62">
        <v>0</v>
      </c>
      <c r="X858" s="63">
        <f t="shared" si="986"/>
        <v>0</v>
      </c>
      <c r="Y858" s="61">
        <v>40.282113788394724</v>
      </c>
      <c r="Z858" s="61">
        <v>0</v>
      </c>
      <c r="AA858" s="61">
        <f t="shared" si="987"/>
        <v>947.91717132394444</v>
      </c>
      <c r="AB858" s="61">
        <f t="shared" si="988"/>
        <v>189.58343426478891</v>
      </c>
      <c r="AC858" s="61">
        <v>1477.8285370671611</v>
      </c>
      <c r="AD858" s="61">
        <v>693.97016997348658</v>
      </c>
      <c r="AE858" s="61">
        <v>449.75383666460579</v>
      </c>
      <c r="AF858" s="61">
        <v>0</v>
      </c>
      <c r="AG858" s="61">
        <f t="shared" si="989"/>
        <v>261.62513928540869</v>
      </c>
      <c r="AH858" s="64"/>
      <c r="AI858" s="64"/>
      <c r="AJ858" s="365">
        <v>40</v>
      </c>
      <c r="AK858" s="372" t="s">
        <v>42</v>
      </c>
      <c r="AL858" s="365">
        <v>17132</v>
      </c>
      <c r="AM858" s="371" t="s">
        <v>1045</v>
      </c>
      <c r="AN858" s="371" t="s">
        <v>1044</v>
      </c>
      <c r="AO858" s="368">
        <f t="shared" ref="AO858:AP860" si="1013">Q858*12</f>
        <v>68250.036335323995</v>
      </c>
      <c r="AP858" s="368">
        <f t="shared" si="1013"/>
        <v>22750.012111774668</v>
      </c>
      <c r="AQ858" s="368">
        <f t="shared" ref="AQ858:AZ860" si="1014">X858*12</f>
        <v>0</v>
      </c>
      <c r="AR858" s="368">
        <f t="shared" si="1014"/>
        <v>483.38536546073669</v>
      </c>
      <c r="AS858" s="368">
        <f t="shared" si="1014"/>
        <v>0</v>
      </c>
      <c r="AT858" s="368">
        <f t="shared" si="1014"/>
        <v>11375.006055887334</v>
      </c>
      <c r="AU858" s="368">
        <f t="shared" si="1014"/>
        <v>2275.0012111774668</v>
      </c>
      <c r="AV858" s="368">
        <f t="shared" si="1014"/>
        <v>17733.942444805933</v>
      </c>
      <c r="AW858" s="368">
        <f t="shared" si="1014"/>
        <v>8327.6420396818394</v>
      </c>
      <c r="AX858" s="368">
        <f t="shared" si="1014"/>
        <v>5397.0460399752692</v>
      </c>
      <c r="AY858" s="368">
        <f t="shared" si="1014"/>
        <v>0</v>
      </c>
      <c r="AZ858" s="368">
        <f t="shared" si="1014"/>
        <v>3139.5016714249041</v>
      </c>
      <c r="BB858" s="64"/>
      <c r="BC858" s="66"/>
      <c r="BD858" s="66"/>
      <c r="BE858" s="66"/>
    </row>
    <row r="859" spans="1:177" ht="21" customHeight="1" x14ac:dyDescent="0.2">
      <c r="B859" s="67">
        <v>41</v>
      </c>
      <c r="C859" s="73" t="s">
        <v>42</v>
      </c>
      <c r="D859" s="67">
        <v>17147</v>
      </c>
      <c r="E859" s="73" t="s">
        <v>1046</v>
      </c>
      <c r="F859" s="72" t="s">
        <v>1047</v>
      </c>
      <c r="G859" s="55">
        <v>42871</v>
      </c>
      <c r="H859" s="56" t="str">
        <f t="shared" si="976"/>
        <v>7 AÑOS</v>
      </c>
      <c r="I859" s="75">
        <v>4613.4201939281784</v>
      </c>
      <c r="J859" s="75"/>
      <c r="K859" s="75"/>
      <c r="L859" s="137"/>
      <c r="M859" s="60">
        <v>4.0000000000000002E-4</v>
      </c>
      <c r="N859" s="61">
        <f t="shared" si="977"/>
        <v>184.53680775712715</v>
      </c>
      <c r="O859" s="58">
        <f t="shared" si="978"/>
        <v>4797.9570016853058</v>
      </c>
      <c r="P859" s="61">
        <f t="shared" si="979"/>
        <v>9595.9140033706117</v>
      </c>
      <c r="Q859" s="61">
        <f t="shared" si="980"/>
        <v>7196.9355025279583</v>
      </c>
      <c r="R859" s="61">
        <f t="shared" si="981"/>
        <v>2398.9785008426529</v>
      </c>
      <c r="S859" s="61">
        <f t="shared" si="982"/>
        <v>319.86380011235372</v>
      </c>
      <c r="T859" s="58">
        <f t="shared" si="983"/>
        <v>367.17165614897078</v>
      </c>
      <c r="U859" s="61">
        <f t="shared" si="984"/>
        <v>3598.4677512639792</v>
      </c>
      <c r="V859" s="58">
        <f t="shared" si="985"/>
        <v>1199.4892504213265</v>
      </c>
      <c r="W859" s="62">
        <v>0</v>
      </c>
      <c r="X859" s="63">
        <f t="shared" si="986"/>
        <v>0</v>
      </c>
      <c r="Y859" s="61">
        <v>255.26584667504181</v>
      </c>
      <c r="Z859" s="61">
        <v>0</v>
      </c>
      <c r="AA859" s="61">
        <f t="shared" si="987"/>
        <v>1199.4892504213265</v>
      </c>
      <c r="AB859" s="61">
        <f t="shared" si="988"/>
        <v>239.89785008426529</v>
      </c>
      <c r="AC859" s="61">
        <v>1724.4936895371072</v>
      </c>
      <c r="AD859" s="61">
        <v>911.15482331647854</v>
      </c>
      <c r="AE859" s="61">
        <v>569.11606703090479</v>
      </c>
      <c r="AF859" s="61">
        <v>0</v>
      </c>
      <c r="AG859" s="61">
        <f t="shared" si="989"/>
        <v>331.05903311628612</v>
      </c>
      <c r="AH859" s="64"/>
      <c r="AI859" s="64"/>
      <c r="AJ859" s="67">
        <v>41</v>
      </c>
      <c r="AK859" s="73" t="s">
        <v>42</v>
      </c>
      <c r="AL859" s="67">
        <v>17147</v>
      </c>
      <c r="AM859" s="73" t="s">
        <v>1046</v>
      </c>
      <c r="AN859" s="72" t="s">
        <v>1047</v>
      </c>
      <c r="AO859" s="65">
        <f t="shared" si="1013"/>
        <v>86363.2260303355</v>
      </c>
      <c r="AP859" s="65">
        <f t="shared" si="1013"/>
        <v>28787.742010111833</v>
      </c>
      <c r="AQ859" s="65">
        <f t="shared" si="1014"/>
        <v>0</v>
      </c>
      <c r="AR859" s="65">
        <f t="shared" si="1014"/>
        <v>3063.190160100502</v>
      </c>
      <c r="AS859" s="65">
        <f t="shared" si="1014"/>
        <v>0</v>
      </c>
      <c r="AT859" s="65">
        <f t="shared" si="1014"/>
        <v>14393.871005055917</v>
      </c>
      <c r="AU859" s="65">
        <f t="shared" si="1014"/>
        <v>2878.7742010111833</v>
      </c>
      <c r="AV859" s="65">
        <f t="shared" si="1014"/>
        <v>20693.924274445286</v>
      </c>
      <c r="AW859" s="65">
        <f t="shared" si="1014"/>
        <v>10933.857879797742</v>
      </c>
      <c r="AX859" s="65">
        <f t="shared" si="1014"/>
        <v>6829.3928043708574</v>
      </c>
      <c r="AY859" s="65">
        <f t="shared" si="1014"/>
        <v>0</v>
      </c>
      <c r="AZ859" s="65">
        <f t="shared" si="1014"/>
        <v>3972.7083973954332</v>
      </c>
      <c r="BB859" s="64"/>
      <c r="BC859" s="66"/>
      <c r="BD859" s="66"/>
      <c r="BE859" s="66"/>
    </row>
    <row r="860" spans="1:177" ht="21" customHeight="1" x14ac:dyDescent="0.2">
      <c r="B860" s="51">
        <v>42</v>
      </c>
      <c r="C860" s="73" t="s">
        <v>42</v>
      </c>
      <c r="D860" s="67">
        <v>17168</v>
      </c>
      <c r="E860" s="73" t="s">
        <v>1048</v>
      </c>
      <c r="F860" s="72" t="s">
        <v>1047</v>
      </c>
      <c r="G860" s="169">
        <v>44958</v>
      </c>
      <c r="H860" s="56" t="str">
        <f t="shared" si="976"/>
        <v>1 AÑOS</v>
      </c>
      <c r="I860" s="57">
        <v>4613.4201939281784</v>
      </c>
      <c r="J860" s="58"/>
      <c r="K860" s="58"/>
      <c r="L860" s="59"/>
      <c r="M860" s="60">
        <v>4.0000000000000002E-4</v>
      </c>
      <c r="N860" s="61">
        <f t="shared" si="977"/>
        <v>184.53680775712715</v>
      </c>
      <c r="O860" s="58">
        <f t="shared" si="978"/>
        <v>4797.9570016853058</v>
      </c>
      <c r="P860" s="61">
        <f t="shared" si="979"/>
        <v>9595.9140033706117</v>
      </c>
      <c r="Q860" s="61">
        <f t="shared" si="980"/>
        <v>7196.9355025279583</v>
      </c>
      <c r="R860" s="61">
        <f t="shared" si="981"/>
        <v>2398.9785008426529</v>
      </c>
      <c r="S860" s="61">
        <f t="shared" si="982"/>
        <v>319.86380011235372</v>
      </c>
      <c r="T860" s="58">
        <f t="shared" si="983"/>
        <v>367.17165614897078</v>
      </c>
      <c r="U860" s="61">
        <f t="shared" si="984"/>
        <v>3598.4677512639792</v>
      </c>
      <c r="V860" s="58">
        <f t="shared" si="985"/>
        <v>1199.4892504213265</v>
      </c>
      <c r="W860" s="62">
        <v>0</v>
      </c>
      <c r="X860" s="63">
        <f t="shared" si="986"/>
        <v>0</v>
      </c>
      <c r="Y860" s="61">
        <v>255.26584667504181</v>
      </c>
      <c r="Z860" s="61">
        <v>0</v>
      </c>
      <c r="AA860" s="61">
        <f t="shared" si="987"/>
        <v>1199.4892504213265</v>
      </c>
      <c r="AB860" s="61">
        <f t="shared" si="988"/>
        <v>239.89785008426529</v>
      </c>
      <c r="AC860" s="61">
        <v>1724.4936895371072</v>
      </c>
      <c r="AD860" s="61">
        <v>911.15482331647854</v>
      </c>
      <c r="AE860" s="61">
        <v>569.11606703090479</v>
      </c>
      <c r="AF860" s="61">
        <v>0</v>
      </c>
      <c r="AG860" s="61">
        <f t="shared" si="989"/>
        <v>331.05903311628612</v>
      </c>
      <c r="AH860" s="64"/>
      <c r="AI860" s="64"/>
      <c r="AJ860" s="51">
        <v>42</v>
      </c>
      <c r="AK860" s="73" t="s">
        <v>42</v>
      </c>
      <c r="AL860" s="67">
        <v>17168</v>
      </c>
      <c r="AM860" s="73" t="s">
        <v>1048</v>
      </c>
      <c r="AN860" s="72" t="s">
        <v>1047</v>
      </c>
      <c r="AO860" s="65">
        <f t="shared" si="1013"/>
        <v>86363.2260303355</v>
      </c>
      <c r="AP860" s="65">
        <f t="shared" si="1013"/>
        <v>28787.742010111833</v>
      </c>
      <c r="AQ860" s="65">
        <f t="shared" si="1014"/>
        <v>0</v>
      </c>
      <c r="AR860" s="65">
        <f t="shared" si="1014"/>
        <v>3063.190160100502</v>
      </c>
      <c r="AS860" s="65">
        <f t="shared" si="1014"/>
        <v>0</v>
      </c>
      <c r="AT860" s="65">
        <f t="shared" si="1014"/>
        <v>14393.871005055917</v>
      </c>
      <c r="AU860" s="65">
        <f t="shared" si="1014"/>
        <v>2878.7742010111833</v>
      </c>
      <c r="AV860" s="65">
        <f t="shared" si="1014"/>
        <v>20693.924274445286</v>
      </c>
      <c r="AW860" s="65">
        <f t="shared" si="1014"/>
        <v>10933.857879797742</v>
      </c>
      <c r="AX860" s="65">
        <f t="shared" si="1014"/>
        <v>6829.3928043708574</v>
      </c>
      <c r="AY860" s="65">
        <f t="shared" si="1014"/>
        <v>0</v>
      </c>
      <c r="AZ860" s="65">
        <f t="shared" si="1014"/>
        <v>3972.7083973954332</v>
      </c>
      <c r="BB860" s="92"/>
      <c r="BC860" s="66"/>
      <c r="BD860" s="66"/>
      <c r="BE860" s="66"/>
    </row>
    <row r="861" spans="1:177" s="96" customFormat="1" ht="21" customHeight="1" x14ac:dyDescent="0.2">
      <c r="A861" s="50"/>
      <c r="B861" s="468" t="s">
        <v>65</v>
      </c>
      <c r="C861" s="469"/>
      <c r="D861" s="469"/>
      <c r="E861" s="469"/>
      <c r="F861" s="470"/>
      <c r="G861" s="89"/>
      <c r="H861" s="244"/>
      <c r="I861" s="91">
        <f t="shared" ref="I861:AG861" si="1015">SUM(I819:I860)</f>
        <v>211612.90247611812</v>
      </c>
      <c r="J861" s="91">
        <f t="shared" si="1015"/>
        <v>0</v>
      </c>
      <c r="K861" s="91">
        <f t="shared" si="1015"/>
        <v>0</v>
      </c>
      <c r="L861" s="140">
        <f t="shared" si="1015"/>
        <v>0</v>
      </c>
      <c r="M861" s="91">
        <f t="shared" si="1015"/>
        <v>1.6799999999999992E-2</v>
      </c>
      <c r="N861" s="91">
        <f t="shared" si="1015"/>
        <v>8464.5160990447312</v>
      </c>
      <c r="O861" s="91">
        <f t="shared" si="1015"/>
        <v>220077.41857516294</v>
      </c>
      <c r="P861" s="91">
        <f t="shared" si="1015"/>
        <v>440154.83715032588</v>
      </c>
      <c r="Q861" s="91">
        <f t="shared" si="1015"/>
        <v>330116.12786274432</v>
      </c>
      <c r="R861" s="91">
        <f t="shared" si="1015"/>
        <v>110038.70928758147</v>
      </c>
      <c r="S861" s="91">
        <f t="shared" si="1015"/>
        <v>14671.827905010874</v>
      </c>
      <c r="T861" s="91">
        <f t="shared" si="1015"/>
        <v>16841.791252161955</v>
      </c>
      <c r="U861" s="141">
        <f t="shared" si="1015"/>
        <v>165058.06393137216</v>
      </c>
      <c r="V861" s="91">
        <f t="shared" si="1015"/>
        <v>55019.354643790735</v>
      </c>
      <c r="W861" s="91">
        <f t="shared" si="1015"/>
        <v>0</v>
      </c>
      <c r="X861" s="91">
        <f t="shared" si="1015"/>
        <v>0</v>
      </c>
      <c r="Y861" s="91">
        <f t="shared" si="1015"/>
        <v>17294.900453952319</v>
      </c>
      <c r="Z861" s="91">
        <f t="shared" si="1015"/>
        <v>0</v>
      </c>
      <c r="AA861" s="91">
        <f t="shared" si="1015"/>
        <v>55019.354643790735</v>
      </c>
      <c r="AB861" s="91">
        <f t="shared" si="1015"/>
        <v>11003.870928758146</v>
      </c>
      <c r="AC861" s="91">
        <f t="shared" si="1015"/>
        <v>76979.021919206134</v>
      </c>
      <c r="AD861" s="91">
        <f t="shared" si="1015"/>
        <v>42241.811767459374</v>
      </c>
      <c r="AE861" s="91">
        <f t="shared" si="1015"/>
        <v>26104.77644085103</v>
      </c>
      <c r="AF861" s="91">
        <f t="shared" si="1015"/>
        <v>0</v>
      </c>
      <c r="AG861" s="91">
        <f t="shared" si="1015"/>
        <v>15185.34188168623</v>
      </c>
      <c r="AH861" s="92"/>
      <c r="AI861" s="92"/>
      <c r="AJ861" s="468" t="s">
        <v>65</v>
      </c>
      <c r="AK861" s="469"/>
      <c r="AL861" s="469"/>
      <c r="AM861" s="469"/>
      <c r="AN861" s="470"/>
      <c r="AO861" s="93">
        <f>SUM(AO819:AO860)+53977.02</f>
        <v>3856142.9962988202</v>
      </c>
      <c r="AP861" s="93">
        <f>SUM(AP819:AP860)+17992.34</f>
        <v>1285380.9987662742</v>
      </c>
      <c r="AQ861" s="93">
        <f t="shared" ref="AQ861:AY861" si="1016">SUM(AQ819:AQ860)</f>
        <v>0</v>
      </c>
      <c r="AR861" s="93">
        <f>SUM(AR819:AR860)+1914.49</f>
        <v>204962.50182539996</v>
      </c>
      <c r="AS861" s="93">
        <f t="shared" si="1016"/>
        <v>0</v>
      </c>
      <c r="AT861" s="93">
        <f>SUM(AT819:AT860)+8996.17</f>
        <v>642690.4993831371</v>
      </c>
      <c r="AU861" s="93">
        <f>SUM(AU819:AU860)+1799.23</f>
        <v>128538.09587662744</v>
      </c>
      <c r="AV861" s="93">
        <f>SUM(AV819:AV860)+12933.7</f>
        <v>897774.24764647544</v>
      </c>
      <c r="AW861" s="93">
        <f>SUM(AW819:AW860)+6833.66</f>
        <v>493770.9445467926</v>
      </c>
      <c r="AX861" s="93">
        <f>SUM(AX819:AX860)+4268.37</f>
        <v>304934.36122221308</v>
      </c>
      <c r="AY861" s="93">
        <f t="shared" si="1016"/>
        <v>0</v>
      </c>
      <c r="AZ861" s="93">
        <f>SUM(AZ819:AZ860)+2482.94</f>
        <v>177382.57490974592</v>
      </c>
      <c r="BA861" s="94"/>
      <c r="BB861" s="284"/>
      <c r="BC861" s="181"/>
      <c r="BD861" s="95"/>
      <c r="BE861" s="95"/>
      <c r="BF861" s="211"/>
      <c r="BG861" s="211"/>
      <c r="BH861" s="211"/>
      <c r="BI861" s="50"/>
      <c r="BJ861" s="50"/>
      <c r="BK861" s="50"/>
      <c r="BL861" s="50"/>
      <c r="BM861" s="50"/>
      <c r="BN861" s="50"/>
      <c r="BO861" s="50"/>
      <c r="BP861" s="50"/>
      <c r="BQ861" s="50"/>
      <c r="BR861" s="50"/>
      <c r="BS861" s="50"/>
      <c r="BT861" s="50"/>
      <c r="BU861" s="50"/>
      <c r="BV861" s="50"/>
      <c r="BW861" s="50"/>
      <c r="BX861" s="50"/>
      <c r="BY861" s="50"/>
      <c r="BZ861" s="50"/>
      <c r="CA861" s="50"/>
      <c r="CB861" s="50"/>
      <c r="CC861" s="50"/>
      <c r="CD861" s="50"/>
      <c r="CE861" s="50"/>
      <c r="CF861" s="50"/>
      <c r="CG861" s="50"/>
      <c r="CH861" s="50"/>
      <c r="CI861" s="50"/>
      <c r="CJ861" s="50"/>
      <c r="CK861" s="50"/>
      <c r="CL861" s="50"/>
      <c r="CM861" s="50"/>
      <c r="CN861" s="50"/>
      <c r="CO861" s="50"/>
      <c r="CP861" s="50"/>
      <c r="CQ861" s="50"/>
      <c r="CR861" s="50"/>
      <c r="CS861" s="50"/>
      <c r="CT861" s="50"/>
      <c r="CU861" s="50"/>
      <c r="CV861" s="50"/>
      <c r="CW861" s="50"/>
      <c r="CX861" s="50"/>
      <c r="CY861" s="50"/>
      <c r="CZ861" s="50"/>
      <c r="DA861" s="50"/>
      <c r="DB861" s="50"/>
      <c r="DC861" s="50"/>
      <c r="DD861" s="50"/>
      <c r="DE861" s="50"/>
      <c r="DF861" s="50"/>
      <c r="DG861" s="50"/>
      <c r="DH861" s="50"/>
      <c r="DI861" s="50"/>
      <c r="DJ861" s="50"/>
      <c r="DK861" s="50"/>
      <c r="DL861" s="50"/>
      <c r="DM861" s="50"/>
      <c r="DN861" s="50"/>
      <c r="DO861" s="50"/>
      <c r="DP861" s="50"/>
      <c r="DQ861" s="50"/>
      <c r="DR861" s="50"/>
      <c r="DS861" s="50"/>
      <c r="DT861" s="50"/>
      <c r="DU861" s="50"/>
      <c r="DV861" s="50"/>
      <c r="DW861" s="50"/>
      <c r="DX861" s="50"/>
      <c r="DY861" s="50"/>
      <c r="DZ861" s="50"/>
      <c r="EA861" s="50"/>
      <c r="EB861" s="50"/>
      <c r="EC861" s="50"/>
      <c r="ED861" s="50"/>
      <c r="EE861" s="50"/>
      <c r="EF861" s="50"/>
      <c r="EG861" s="50"/>
      <c r="EH861" s="50"/>
      <c r="EI861" s="50"/>
      <c r="EJ861" s="50"/>
      <c r="EK861" s="50"/>
      <c r="EL861" s="50"/>
      <c r="EM861" s="50"/>
      <c r="EN861" s="50"/>
      <c r="EO861" s="50"/>
      <c r="EP861" s="50"/>
      <c r="EQ861" s="50"/>
      <c r="ER861" s="50"/>
      <c r="ES861" s="50"/>
      <c r="ET861" s="50"/>
      <c r="EU861" s="50"/>
      <c r="EV861" s="50"/>
      <c r="EW861" s="50"/>
      <c r="EX861" s="50"/>
      <c r="EY861" s="50"/>
      <c r="EZ861" s="50"/>
      <c r="FA861" s="50"/>
      <c r="FB861" s="50"/>
      <c r="FC861" s="50"/>
      <c r="FD861" s="50"/>
      <c r="FE861" s="50"/>
      <c r="FF861" s="50"/>
      <c r="FG861" s="50"/>
      <c r="FH861" s="50"/>
      <c r="FI861" s="50"/>
      <c r="FJ861" s="50"/>
      <c r="FK861" s="50"/>
      <c r="FL861" s="50"/>
      <c r="FM861" s="50"/>
      <c r="FN861" s="50"/>
      <c r="FO861" s="50"/>
      <c r="FP861" s="50"/>
      <c r="FQ861" s="50"/>
      <c r="FR861" s="50"/>
      <c r="FS861" s="50"/>
      <c r="FT861" s="50"/>
      <c r="FU861" s="50"/>
    </row>
    <row r="862" spans="1:177" ht="21" customHeight="1" x14ac:dyDescent="0.2">
      <c r="B862" s="67">
        <v>43</v>
      </c>
      <c r="C862" s="73" t="s">
        <v>66</v>
      </c>
      <c r="D862" s="67">
        <v>23013</v>
      </c>
      <c r="E862" s="73" t="s">
        <v>1049</v>
      </c>
      <c r="F862" s="72" t="s">
        <v>563</v>
      </c>
      <c r="G862" s="55">
        <v>44166</v>
      </c>
      <c r="H862" s="56" t="str">
        <f t="shared" si="976"/>
        <v>4 AÑOS</v>
      </c>
      <c r="I862" s="57">
        <v>6063.7985650654873</v>
      </c>
      <c r="J862" s="58"/>
      <c r="K862" s="58"/>
      <c r="L862" s="59"/>
      <c r="M862" s="60">
        <v>4.0000000000000002E-4</v>
      </c>
      <c r="N862" s="61">
        <f>I862*0.04</f>
        <v>242.5519426026195</v>
      </c>
      <c r="O862" s="58">
        <f>I862+N862</f>
        <v>6306.3505076681067</v>
      </c>
      <c r="P862" s="61">
        <f>O862*2</f>
        <v>12612.701015336213</v>
      </c>
      <c r="Q862" s="61">
        <f>P862*0.75</f>
        <v>9459.5257615021601</v>
      </c>
      <c r="R862" s="61">
        <f>P862*0.25</f>
        <v>3153.1752538340534</v>
      </c>
      <c r="S862" s="61">
        <f>(P862/30)</f>
        <v>420.42336717787379</v>
      </c>
      <c r="T862" s="58">
        <f t="shared" si="983"/>
        <v>482.60398318348126</v>
      </c>
      <c r="U862" s="61">
        <f>O862*0.75</f>
        <v>4729.76288075108</v>
      </c>
      <c r="V862" s="58">
        <f>O862*0.25</f>
        <v>1576.5876269170267</v>
      </c>
      <c r="W862" s="62">
        <v>0</v>
      </c>
      <c r="X862" s="63">
        <f>P862*W862</f>
        <v>0</v>
      </c>
      <c r="Y862" s="61">
        <v>716.23566685143487</v>
      </c>
      <c r="Z862" s="61">
        <v>0</v>
      </c>
      <c r="AA862" s="61">
        <f>(S862*45)/12</f>
        <v>1576.5876269170267</v>
      </c>
      <c r="AB862" s="61">
        <f>(S862*10)*(0.45*2)/12</f>
        <v>315.31752538340533</v>
      </c>
      <c r="AC862" s="61">
        <v>2094.2367423759515</v>
      </c>
      <c r="AD862" s="61">
        <v>1264.9291701230636</v>
      </c>
      <c r="AE862" s="61">
        <v>748.03617393439606</v>
      </c>
      <c r="AF862" s="61">
        <v>0</v>
      </c>
      <c r="AG862" s="61">
        <f>(P862+AA862+AB862)*0.03</f>
        <v>435.1381850290993</v>
      </c>
      <c r="AH862" s="64"/>
      <c r="AI862" s="64"/>
      <c r="AJ862" s="67">
        <v>43</v>
      </c>
      <c r="AK862" s="73" t="s">
        <v>66</v>
      </c>
      <c r="AL862" s="67">
        <v>23013</v>
      </c>
      <c r="AM862" s="73" t="s">
        <v>1049</v>
      </c>
      <c r="AN862" s="72" t="s">
        <v>563</v>
      </c>
      <c r="AO862" s="65">
        <f>Q862*12</f>
        <v>113514.30913802591</v>
      </c>
      <c r="AP862" s="65">
        <f>R862*12</f>
        <v>37838.10304600864</v>
      </c>
      <c r="AQ862" s="65">
        <f t="shared" ref="AQ862:AZ862" si="1017">X862*12</f>
        <v>0</v>
      </c>
      <c r="AR862" s="65">
        <f t="shared" si="1017"/>
        <v>8594.8280022172185</v>
      </c>
      <c r="AS862" s="65">
        <f t="shared" si="1017"/>
        <v>0</v>
      </c>
      <c r="AT862" s="65">
        <f t="shared" si="1017"/>
        <v>18919.05152300432</v>
      </c>
      <c r="AU862" s="65">
        <f t="shared" si="1017"/>
        <v>3783.8103046008637</v>
      </c>
      <c r="AV862" s="65">
        <f t="shared" si="1017"/>
        <v>25130.840908511418</v>
      </c>
      <c r="AW862" s="65">
        <f t="shared" si="1017"/>
        <v>15179.150041476763</v>
      </c>
      <c r="AX862" s="65">
        <f t="shared" si="1017"/>
        <v>8976.4340872127523</v>
      </c>
      <c r="AY862" s="65">
        <f t="shared" si="1017"/>
        <v>0</v>
      </c>
      <c r="AZ862" s="65">
        <f t="shared" si="1017"/>
        <v>5221.6582203491917</v>
      </c>
      <c r="BB862" s="64"/>
      <c r="BC862" s="66"/>
      <c r="BD862" s="66"/>
      <c r="BE862" s="66"/>
    </row>
    <row r="863" spans="1:177" s="96" customFormat="1" ht="21" customHeight="1" x14ac:dyDescent="0.2">
      <c r="A863" s="50"/>
      <c r="B863" s="455" t="s">
        <v>99</v>
      </c>
      <c r="C863" s="456"/>
      <c r="D863" s="456"/>
      <c r="E863" s="285">
        <v>44</v>
      </c>
      <c r="F863" s="166" t="s">
        <v>100</v>
      </c>
      <c r="G863" s="286"/>
      <c r="H863" s="286"/>
      <c r="I863" s="91">
        <f>SUM(I862)</f>
        <v>6063.7985650654873</v>
      </c>
      <c r="J863" s="91">
        <f t="shared" ref="J863:AG863" si="1018">SUM(J862)</f>
        <v>0</v>
      </c>
      <c r="K863" s="91">
        <f t="shared" si="1018"/>
        <v>0</v>
      </c>
      <c r="L863" s="140">
        <f t="shared" si="1018"/>
        <v>0</v>
      </c>
      <c r="M863" s="91">
        <f t="shared" si="1018"/>
        <v>4.0000000000000002E-4</v>
      </c>
      <c r="N863" s="91">
        <f t="shared" si="1018"/>
        <v>242.5519426026195</v>
      </c>
      <c r="O863" s="91">
        <f t="shared" si="1018"/>
        <v>6306.3505076681067</v>
      </c>
      <c r="P863" s="91">
        <f t="shared" si="1018"/>
        <v>12612.701015336213</v>
      </c>
      <c r="Q863" s="91">
        <f t="shared" si="1018"/>
        <v>9459.5257615021601</v>
      </c>
      <c r="R863" s="91">
        <f t="shared" si="1018"/>
        <v>3153.1752538340534</v>
      </c>
      <c r="S863" s="91">
        <f t="shared" si="1018"/>
        <v>420.42336717787379</v>
      </c>
      <c r="T863" s="91">
        <f t="shared" si="1018"/>
        <v>482.60398318348126</v>
      </c>
      <c r="U863" s="141">
        <f t="shared" si="1018"/>
        <v>4729.76288075108</v>
      </c>
      <c r="V863" s="91">
        <f t="shared" si="1018"/>
        <v>1576.5876269170267</v>
      </c>
      <c r="W863" s="91">
        <f t="shared" si="1018"/>
        <v>0</v>
      </c>
      <c r="X863" s="91">
        <f t="shared" si="1018"/>
        <v>0</v>
      </c>
      <c r="Y863" s="91">
        <f t="shared" si="1018"/>
        <v>716.23566685143487</v>
      </c>
      <c r="Z863" s="91">
        <f t="shared" si="1018"/>
        <v>0</v>
      </c>
      <c r="AA863" s="91">
        <f t="shared" si="1018"/>
        <v>1576.5876269170267</v>
      </c>
      <c r="AB863" s="91">
        <f t="shared" si="1018"/>
        <v>315.31752538340533</v>
      </c>
      <c r="AC863" s="91">
        <f t="shared" si="1018"/>
        <v>2094.2367423759515</v>
      </c>
      <c r="AD863" s="91">
        <f t="shared" si="1018"/>
        <v>1264.9291701230636</v>
      </c>
      <c r="AE863" s="91">
        <f t="shared" si="1018"/>
        <v>748.03617393439606</v>
      </c>
      <c r="AF863" s="91">
        <f t="shared" si="1018"/>
        <v>0</v>
      </c>
      <c r="AG863" s="91">
        <f t="shared" si="1018"/>
        <v>435.1381850290993</v>
      </c>
      <c r="AH863" s="92"/>
      <c r="AI863" s="92"/>
      <c r="AJ863" s="455" t="s">
        <v>99</v>
      </c>
      <c r="AK863" s="456"/>
      <c r="AL863" s="456"/>
      <c r="AM863" s="285">
        <v>44</v>
      </c>
      <c r="AN863" s="166" t="s">
        <v>100</v>
      </c>
      <c r="AO863" s="93">
        <f>AO862</f>
        <v>113514.30913802591</v>
      </c>
      <c r="AP863" s="93">
        <f t="shared" ref="AP863:AZ863" si="1019">AP862</f>
        <v>37838.10304600864</v>
      </c>
      <c r="AQ863" s="93">
        <f t="shared" si="1019"/>
        <v>0</v>
      </c>
      <c r="AR863" s="93">
        <f t="shared" si="1019"/>
        <v>8594.8280022172185</v>
      </c>
      <c r="AS863" s="93">
        <f t="shared" si="1019"/>
        <v>0</v>
      </c>
      <c r="AT863" s="93">
        <f t="shared" si="1019"/>
        <v>18919.05152300432</v>
      </c>
      <c r="AU863" s="93">
        <f t="shared" si="1019"/>
        <v>3783.8103046008637</v>
      </c>
      <c r="AV863" s="93">
        <f t="shared" si="1019"/>
        <v>25130.840908511418</v>
      </c>
      <c r="AW863" s="93">
        <f t="shared" si="1019"/>
        <v>15179.150041476763</v>
      </c>
      <c r="AX863" s="93">
        <f t="shared" si="1019"/>
        <v>8976.4340872127523</v>
      </c>
      <c r="AY863" s="93">
        <f t="shared" si="1019"/>
        <v>0</v>
      </c>
      <c r="AZ863" s="93">
        <f t="shared" si="1019"/>
        <v>5221.6582203491917</v>
      </c>
      <c r="BA863" s="94"/>
      <c r="BB863" s="92"/>
      <c r="BC863" s="95"/>
      <c r="BD863" s="95"/>
      <c r="BE863" s="95"/>
      <c r="BF863" s="50"/>
      <c r="BG863" s="50"/>
      <c r="BH863" s="50"/>
      <c r="BI863" s="50"/>
      <c r="BJ863" s="50"/>
      <c r="BK863" s="50"/>
      <c r="BL863" s="50"/>
      <c r="BM863" s="50"/>
      <c r="BN863" s="50"/>
      <c r="BO863" s="50"/>
      <c r="BP863" s="50"/>
      <c r="BQ863" s="50"/>
      <c r="BR863" s="50"/>
      <c r="BS863" s="50"/>
      <c r="BT863" s="50"/>
      <c r="BU863" s="50"/>
      <c r="BV863" s="50"/>
      <c r="BW863" s="50"/>
      <c r="BX863" s="50"/>
      <c r="BY863" s="50"/>
      <c r="BZ863" s="50"/>
      <c r="CA863" s="50"/>
      <c r="CB863" s="50"/>
      <c r="CC863" s="50"/>
      <c r="CD863" s="50"/>
      <c r="CE863" s="50"/>
      <c r="CF863" s="50"/>
      <c r="CG863" s="50"/>
      <c r="CH863" s="50"/>
      <c r="CI863" s="50"/>
      <c r="CJ863" s="50"/>
      <c r="CK863" s="50"/>
      <c r="CL863" s="50"/>
      <c r="CM863" s="50"/>
      <c r="CN863" s="50"/>
      <c r="CO863" s="50"/>
      <c r="CP863" s="50"/>
      <c r="CQ863" s="50"/>
      <c r="CR863" s="50"/>
      <c r="CS863" s="50"/>
      <c r="CT863" s="50"/>
      <c r="CU863" s="50"/>
      <c r="CV863" s="50"/>
      <c r="CW863" s="50"/>
      <c r="CX863" s="50"/>
      <c r="CY863" s="50"/>
      <c r="CZ863" s="50"/>
      <c r="DA863" s="50"/>
      <c r="DB863" s="50"/>
      <c r="DC863" s="50"/>
      <c r="DD863" s="50"/>
      <c r="DE863" s="50"/>
      <c r="DF863" s="50"/>
      <c r="DG863" s="50"/>
      <c r="DH863" s="50"/>
      <c r="DI863" s="50"/>
      <c r="DJ863" s="50"/>
      <c r="DK863" s="50"/>
      <c r="DL863" s="50"/>
      <c r="DM863" s="50"/>
      <c r="DN863" s="50"/>
      <c r="DO863" s="50"/>
      <c r="DP863" s="50"/>
      <c r="DQ863" s="50"/>
      <c r="DR863" s="50"/>
      <c r="DS863" s="50"/>
      <c r="DT863" s="50"/>
      <c r="DU863" s="50"/>
      <c r="DV863" s="50"/>
      <c r="DW863" s="50"/>
      <c r="DX863" s="50"/>
      <c r="DY863" s="50"/>
      <c r="DZ863" s="50"/>
      <c r="EA863" s="50"/>
      <c r="EB863" s="50"/>
      <c r="EC863" s="50"/>
      <c r="ED863" s="50"/>
      <c r="EE863" s="50"/>
      <c r="EF863" s="50"/>
      <c r="EG863" s="50"/>
      <c r="EH863" s="50"/>
      <c r="EI863" s="50"/>
      <c r="EJ863" s="50"/>
      <c r="EK863" s="50"/>
      <c r="EL863" s="50"/>
      <c r="EM863" s="50"/>
      <c r="EN863" s="50"/>
      <c r="EO863" s="50"/>
      <c r="EP863" s="50"/>
      <c r="EQ863" s="50"/>
      <c r="ER863" s="50"/>
      <c r="ES863" s="50"/>
      <c r="ET863" s="50"/>
      <c r="EU863" s="50"/>
      <c r="EV863" s="50"/>
      <c r="EW863" s="50"/>
      <c r="EX863" s="50"/>
      <c r="EY863" s="50"/>
      <c r="EZ863" s="50"/>
      <c r="FA863" s="50"/>
      <c r="FB863" s="50"/>
      <c r="FC863" s="50"/>
      <c r="FD863" s="50"/>
      <c r="FE863" s="50"/>
      <c r="FF863" s="50"/>
      <c r="FG863" s="50"/>
      <c r="FH863" s="50"/>
      <c r="FI863" s="50"/>
      <c r="FJ863" s="50"/>
      <c r="FK863" s="50"/>
      <c r="FL863" s="50"/>
      <c r="FM863" s="50"/>
      <c r="FN863" s="50"/>
      <c r="FO863" s="50"/>
      <c r="FP863" s="50"/>
      <c r="FQ863" s="50"/>
      <c r="FR863" s="50"/>
      <c r="FS863" s="50"/>
      <c r="FT863" s="50"/>
      <c r="FU863" s="50"/>
    </row>
    <row r="864" spans="1:177" ht="21" customHeight="1" x14ac:dyDescent="0.2">
      <c r="B864" s="457" t="s">
        <v>101</v>
      </c>
      <c r="C864" s="458"/>
      <c r="D864" s="458"/>
      <c r="E864" s="76">
        <v>40</v>
      </c>
      <c r="F864" s="287" t="s">
        <v>1050</v>
      </c>
      <c r="G864" s="147"/>
      <c r="H864" s="288"/>
      <c r="I864" s="58">
        <f>I861+I863</f>
        <v>217676.70104118361</v>
      </c>
      <c r="J864" s="58">
        <f t="shared" ref="J864:AG864" si="1020">J861+J863</f>
        <v>0</v>
      </c>
      <c r="K864" s="58">
        <f t="shared" si="1020"/>
        <v>0</v>
      </c>
      <c r="L864" s="59">
        <f t="shared" si="1020"/>
        <v>0</v>
      </c>
      <c r="M864" s="58">
        <f t="shared" si="1020"/>
        <v>1.7199999999999993E-2</v>
      </c>
      <c r="N864" s="58">
        <f t="shared" si="1020"/>
        <v>8707.0680416473515</v>
      </c>
      <c r="O864" s="58">
        <f t="shared" si="1020"/>
        <v>226383.76908283104</v>
      </c>
      <c r="P864" s="58">
        <f t="shared" si="1020"/>
        <v>452767.53816566209</v>
      </c>
      <c r="Q864" s="58">
        <f t="shared" si="1020"/>
        <v>339575.65362424648</v>
      </c>
      <c r="R864" s="58">
        <f t="shared" si="1020"/>
        <v>113191.88454141552</v>
      </c>
      <c r="S864" s="58">
        <f t="shared" si="1020"/>
        <v>15092.251272188747</v>
      </c>
      <c r="T864" s="58">
        <f t="shared" si="1020"/>
        <v>17324.395235345437</v>
      </c>
      <c r="U864" s="61">
        <f t="shared" si="1020"/>
        <v>169787.82681212324</v>
      </c>
      <c r="V864" s="58">
        <f t="shared" si="1020"/>
        <v>56595.942270707761</v>
      </c>
      <c r="W864" s="58">
        <f t="shared" si="1020"/>
        <v>0</v>
      </c>
      <c r="X864" s="58">
        <f t="shared" si="1020"/>
        <v>0</v>
      </c>
      <c r="Y864" s="58">
        <f t="shared" si="1020"/>
        <v>18011.136120803756</v>
      </c>
      <c r="Z864" s="58">
        <f t="shared" si="1020"/>
        <v>0</v>
      </c>
      <c r="AA864" s="58">
        <f t="shared" si="1020"/>
        <v>56595.942270707761</v>
      </c>
      <c r="AB864" s="58">
        <f t="shared" si="1020"/>
        <v>11319.188454141551</v>
      </c>
      <c r="AC864" s="58">
        <f t="shared" si="1020"/>
        <v>79073.258661582091</v>
      </c>
      <c r="AD864" s="58">
        <f t="shared" si="1020"/>
        <v>43506.740937582435</v>
      </c>
      <c r="AE864" s="58">
        <f t="shared" si="1020"/>
        <v>26852.812614785427</v>
      </c>
      <c r="AF864" s="58">
        <f t="shared" si="1020"/>
        <v>0</v>
      </c>
      <c r="AG864" s="58">
        <f t="shared" si="1020"/>
        <v>15620.48006671533</v>
      </c>
      <c r="AH864" s="92">
        <f>Q864+R864-Y864+Z864+X864+AA864+AB864+AC864+AD864+AE864+AF864+AG864</f>
        <v>667724.82505037275</v>
      </c>
      <c r="AI864" s="92">
        <f>AH864*12</f>
        <v>8012697.9006044734</v>
      </c>
      <c r="AJ864" s="457" t="s">
        <v>101</v>
      </c>
      <c r="AK864" s="458"/>
      <c r="AL864" s="458"/>
      <c r="AM864" s="76">
        <v>40</v>
      </c>
      <c r="AN864" s="287" t="s">
        <v>1050</v>
      </c>
      <c r="AO864" s="124">
        <f>AO861+AO863</f>
        <v>3969657.3054368463</v>
      </c>
      <c r="AP864" s="124">
        <f t="shared" ref="AP864:AZ864" si="1021">AP861+AP863</f>
        <v>1323219.1018122828</v>
      </c>
      <c r="AQ864" s="124">
        <f t="shared" si="1021"/>
        <v>0</v>
      </c>
      <c r="AR864" s="124">
        <f t="shared" si="1021"/>
        <v>213557.32982761718</v>
      </c>
      <c r="AS864" s="124">
        <f t="shared" si="1021"/>
        <v>0</v>
      </c>
      <c r="AT864" s="124">
        <f t="shared" si="1021"/>
        <v>661609.5509061414</v>
      </c>
      <c r="AU864" s="124">
        <f t="shared" si="1021"/>
        <v>132321.90618122832</v>
      </c>
      <c r="AV864" s="124">
        <f t="shared" si="1021"/>
        <v>922905.08855498687</v>
      </c>
      <c r="AW864" s="124">
        <f t="shared" si="1021"/>
        <v>508950.09458826936</v>
      </c>
      <c r="AX864" s="124">
        <f t="shared" si="1021"/>
        <v>313910.79530942586</v>
      </c>
      <c r="AY864" s="124">
        <f t="shared" si="1021"/>
        <v>0</v>
      </c>
      <c r="AZ864" s="124">
        <f t="shared" si="1021"/>
        <v>182604.23313009512</v>
      </c>
      <c r="BA864" s="152"/>
      <c r="BB864" s="92">
        <f>AO864+AP864+AQ864-AR864+AS864+AU864+AV864+AT864+AW864+AX864+AY864+AZ864</f>
        <v>7801620.7460916601</v>
      </c>
      <c r="BC864" s="95"/>
      <c r="BD864" s="95"/>
      <c r="BE864" s="95"/>
    </row>
    <row r="865" spans="1:177" ht="21" customHeight="1" x14ac:dyDescent="0.2">
      <c r="B865" s="457" t="s">
        <v>103</v>
      </c>
      <c r="C865" s="458"/>
      <c r="D865" s="458"/>
      <c r="E865" s="76">
        <f>E863-E864</f>
        <v>4</v>
      </c>
      <c r="F865" s="73"/>
      <c r="G865" s="484"/>
      <c r="H865" s="479"/>
      <c r="I865" s="479"/>
      <c r="J865" s="479"/>
      <c r="K865" s="479"/>
      <c r="L865" s="479"/>
      <c r="M865" s="479"/>
      <c r="N865" s="479"/>
      <c r="O865" s="479"/>
      <c r="P865" s="479"/>
      <c r="Q865" s="479"/>
      <c r="R865" s="479"/>
      <c r="S865" s="479"/>
      <c r="T865" s="479"/>
      <c r="U865" s="479"/>
      <c r="V865" s="479"/>
      <c r="W865" s="479"/>
      <c r="X865" s="479"/>
      <c r="Y865" s="479"/>
      <c r="Z865" s="479"/>
      <c r="AA865" s="479"/>
      <c r="AB865" s="479"/>
      <c r="AC865" s="479"/>
      <c r="AD865" s="479"/>
      <c r="AE865" s="479"/>
      <c r="AF865" s="479"/>
      <c r="AG865" s="480"/>
      <c r="AH865" s="273"/>
      <c r="AI865" s="273"/>
      <c r="AJ865" s="457" t="s">
        <v>103</v>
      </c>
      <c r="AK865" s="458"/>
      <c r="AL865" s="458"/>
      <c r="AM865" s="76">
        <f>AM863-AM864</f>
        <v>4</v>
      </c>
      <c r="AN865" s="73"/>
      <c r="AO865" s="481"/>
      <c r="AP865" s="482"/>
      <c r="AQ865" s="482"/>
      <c r="AR865" s="482"/>
      <c r="AS865" s="482"/>
      <c r="AT865" s="482"/>
      <c r="AU865" s="482"/>
      <c r="AV865" s="482"/>
      <c r="AW865" s="482"/>
      <c r="AX865" s="482"/>
      <c r="AY865" s="482"/>
      <c r="AZ865" s="483"/>
      <c r="BA865" s="152"/>
      <c r="BB865" s="92"/>
      <c r="BC865" s="95"/>
      <c r="BD865" s="95"/>
      <c r="BE865" s="95"/>
    </row>
    <row r="866" spans="1:177" ht="21" customHeight="1" x14ac:dyDescent="0.2">
      <c r="B866" s="5"/>
      <c r="C866" s="94"/>
      <c r="D866" s="5"/>
      <c r="E866" s="94"/>
      <c r="G866" s="27"/>
      <c r="H866" s="27"/>
      <c r="I866" s="95"/>
      <c r="J866" s="95"/>
      <c r="K866" s="95"/>
      <c r="L866" s="27"/>
      <c r="M866" s="128"/>
      <c r="N866" s="66"/>
      <c r="O866" s="95"/>
      <c r="P866" s="66"/>
      <c r="Q866" s="66"/>
      <c r="R866" s="66"/>
      <c r="S866" s="66"/>
      <c r="T866" s="95"/>
      <c r="U866" s="66"/>
      <c r="V866" s="95"/>
      <c r="W866" s="129"/>
      <c r="X866" s="130"/>
      <c r="Y866" s="66"/>
      <c r="Z866" s="66"/>
      <c r="AA866" s="66"/>
      <c r="AB866" s="66"/>
      <c r="AC866" s="66"/>
      <c r="AD866" s="66"/>
      <c r="AE866" s="66"/>
      <c r="AF866" s="66"/>
      <c r="AG866" s="66"/>
      <c r="AH866" s="64"/>
      <c r="AI866" s="64"/>
      <c r="AJ866" s="5"/>
      <c r="AK866" s="94"/>
      <c r="AL866" s="5"/>
      <c r="AM866" s="94"/>
      <c r="AO866" s="153"/>
      <c r="AP866" s="153"/>
      <c r="AQ866" s="153"/>
      <c r="AR866" s="153"/>
      <c r="AS866" s="153"/>
      <c r="AT866" s="153"/>
      <c r="AU866" s="153"/>
      <c r="AV866" s="153"/>
      <c r="AW866" s="153"/>
      <c r="AX866" s="153"/>
      <c r="AY866" s="153"/>
      <c r="AZ866" s="153"/>
      <c r="BA866" s="152"/>
      <c r="BB866" s="92"/>
      <c r="BC866" s="95"/>
      <c r="BD866" s="95"/>
      <c r="BE866" s="95"/>
    </row>
    <row r="867" spans="1:177" ht="21" customHeight="1" thickBot="1" x14ac:dyDescent="0.25">
      <c r="B867" s="5"/>
      <c r="C867" s="94"/>
      <c r="D867" s="5"/>
      <c r="E867" s="94"/>
      <c r="G867" s="27"/>
      <c r="H867" s="27"/>
      <c r="I867" s="95"/>
      <c r="J867" s="95"/>
      <c r="K867" s="95"/>
      <c r="L867" s="27"/>
      <c r="M867" s="128"/>
      <c r="N867" s="66"/>
      <c r="O867" s="95"/>
      <c r="P867" s="66"/>
      <c r="Q867" s="66"/>
      <c r="R867" s="66"/>
      <c r="S867" s="66"/>
      <c r="T867" s="95"/>
      <c r="U867" s="66"/>
      <c r="V867" s="95"/>
      <c r="W867" s="129"/>
      <c r="X867" s="130"/>
      <c r="Y867" s="66"/>
      <c r="Z867" s="66"/>
      <c r="AA867" s="66"/>
      <c r="AB867" s="66"/>
      <c r="AC867" s="66"/>
      <c r="AD867" s="66"/>
      <c r="AE867" s="66"/>
      <c r="AF867" s="66"/>
      <c r="AG867" s="66"/>
      <c r="AH867" s="64"/>
      <c r="AI867" s="64"/>
      <c r="AJ867" s="5"/>
      <c r="AK867" s="94"/>
      <c r="AL867" s="5"/>
      <c r="AM867" s="94"/>
      <c r="AO867" s="153"/>
      <c r="AP867" s="153"/>
      <c r="AQ867" s="153"/>
      <c r="AR867" s="153"/>
      <c r="AS867" s="153"/>
      <c r="AT867" s="153"/>
      <c r="AU867" s="153"/>
      <c r="AV867" s="153"/>
      <c r="AW867" s="153"/>
      <c r="AX867" s="153"/>
      <c r="AY867" s="153"/>
      <c r="AZ867" s="153"/>
      <c r="BA867" s="152"/>
      <c r="BB867" s="92"/>
      <c r="BC867" s="95"/>
      <c r="BD867" s="95"/>
      <c r="BE867" s="95"/>
    </row>
    <row r="868" spans="1:177" s="134" customFormat="1" ht="21" customHeight="1" thickBot="1" x14ac:dyDescent="0.25">
      <c r="A868" s="94"/>
      <c r="B868" s="494" t="s">
        <v>1051</v>
      </c>
      <c r="C868" s="495"/>
      <c r="D868" s="495"/>
      <c r="E868" s="496"/>
      <c r="F868" s="466" t="s">
        <v>4</v>
      </c>
      <c r="G868" s="7" t="s">
        <v>5</v>
      </c>
      <c r="H868" s="8" t="s">
        <v>6</v>
      </c>
      <c r="I868" s="9" t="s">
        <v>7</v>
      </c>
      <c r="J868" s="9"/>
      <c r="K868" s="9"/>
      <c r="L868" s="9"/>
      <c r="M868" s="10">
        <v>4.0000000000000002E-4</v>
      </c>
      <c r="N868" s="11" t="s">
        <v>8</v>
      </c>
      <c r="O868" s="12" t="s">
        <v>9</v>
      </c>
      <c r="P868" s="12" t="s">
        <v>10</v>
      </c>
      <c r="Q868" s="13" t="s">
        <v>11</v>
      </c>
      <c r="R868" s="12" t="s">
        <v>12</v>
      </c>
      <c r="S868" s="14" t="s">
        <v>11</v>
      </c>
      <c r="T868" s="15" t="s">
        <v>13</v>
      </c>
      <c r="U868" s="16" t="s">
        <v>11</v>
      </c>
      <c r="V868" s="17" t="s">
        <v>12</v>
      </c>
      <c r="W868" s="18" t="s">
        <v>14</v>
      </c>
      <c r="X868" s="19" t="s">
        <v>15</v>
      </c>
      <c r="Y868" s="15" t="s">
        <v>16</v>
      </c>
      <c r="Z868" s="13" t="s">
        <v>17</v>
      </c>
      <c r="AA868" s="20" t="s">
        <v>18</v>
      </c>
      <c r="AB868" s="17" t="s">
        <v>19</v>
      </c>
      <c r="AC868" s="13" t="s">
        <v>20</v>
      </c>
      <c r="AD868" s="13" t="s">
        <v>21</v>
      </c>
      <c r="AE868" s="13" t="s">
        <v>22</v>
      </c>
      <c r="AF868" s="17" t="s">
        <v>23</v>
      </c>
      <c r="AG868" s="12" t="s">
        <v>24</v>
      </c>
      <c r="AH868" s="132"/>
      <c r="AI868" s="132"/>
      <c r="AJ868" s="494" t="s">
        <v>1051</v>
      </c>
      <c r="AK868" s="495"/>
      <c r="AL868" s="495"/>
      <c r="AM868" s="496"/>
      <c r="AN868" s="466" t="s">
        <v>4</v>
      </c>
      <c r="AO868" s="22" t="s">
        <v>11</v>
      </c>
      <c r="AP868" s="12" t="s">
        <v>12</v>
      </c>
      <c r="AQ868" s="23" t="s">
        <v>15</v>
      </c>
      <c r="AR868" s="22" t="s">
        <v>16</v>
      </c>
      <c r="AS868" s="22" t="s">
        <v>25</v>
      </c>
      <c r="AT868" s="20" t="s">
        <v>26</v>
      </c>
      <c r="AU868" s="24" t="s">
        <v>27</v>
      </c>
      <c r="AV868" s="23" t="s">
        <v>20</v>
      </c>
      <c r="AW868" s="22" t="s">
        <v>28</v>
      </c>
      <c r="AX868" s="22" t="s">
        <v>29</v>
      </c>
      <c r="AY868" s="25" t="s">
        <v>23</v>
      </c>
      <c r="AZ868" s="24" t="s">
        <v>24</v>
      </c>
      <c r="BA868" s="94"/>
      <c r="BB868" s="92"/>
      <c r="BC868" s="95"/>
      <c r="BD868" s="95"/>
      <c r="BE868" s="95"/>
      <c r="BF868" s="94"/>
      <c r="BG868" s="94"/>
      <c r="BH868" s="94"/>
      <c r="BI868" s="94"/>
      <c r="BJ868" s="94"/>
      <c r="BK868" s="94"/>
      <c r="BL868" s="94"/>
      <c r="BM868" s="94"/>
      <c r="BN868" s="94"/>
      <c r="BO868" s="94"/>
      <c r="BP868" s="94"/>
      <c r="BQ868" s="94"/>
      <c r="BR868" s="94"/>
      <c r="BS868" s="94"/>
      <c r="BT868" s="94"/>
      <c r="BU868" s="94"/>
      <c r="BV868" s="94"/>
      <c r="BW868" s="94"/>
      <c r="BX868" s="94"/>
      <c r="BY868" s="94"/>
      <c r="BZ868" s="94"/>
      <c r="CA868" s="94"/>
      <c r="CB868" s="94"/>
      <c r="CC868" s="94"/>
      <c r="CD868" s="94"/>
      <c r="CE868" s="94"/>
      <c r="CF868" s="94"/>
      <c r="CG868" s="94"/>
      <c r="CH868" s="94"/>
      <c r="CI868" s="94"/>
      <c r="CJ868" s="94"/>
      <c r="CK868" s="94"/>
      <c r="CL868" s="94"/>
      <c r="CM868" s="94"/>
      <c r="CN868" s="94"/>
      <c r="CO868" s="94"/>
      <c r="CP868" s="94"/>
      <c r="CQ868" s="94"/>
      <c r="CR868" s="94"/>
      <c r="CS868" s="94"/>
      <c r="CT868" s="94"/>
      <c r="CU868" s="94"/>
      <c r="CV868" s="94"/>
      <c r="CW868" s="94"/>
      <c r="CX868" s="94"/>
      <c r="CY868" s="94"/>
      <c r="CZ868" s="94"/>
      <c r="DA868" s="94"/>
      <c r="DB868" s="94"/>
      <c r="DC868" s="94"/>
      <c r="DD868" s="94"/>
      <c r="DE868" s="94"/>
      <c r="DF868" s="94"/>
      <c r="DG868" s="94"/>
      <c r="DH868" s="94"/>
      <c r="DI868" s="94"/>
      <c r="DJ868" s="94"/>
      <c r="DK868" s="94"/>
      <c r="DL868" s="94"/>
      <c r="DM868" s="94"/>
      <c r="DN868" s="94"/>
      <c r="DO868" s="94"/>
      <c r="DP868" s="94"/>
      <c r="DQ868" s="94"/>
      <c r="DR868" s="94"/>
      <c r="DS868" s="94"/>
      <c r="DT868" s="94"/>
      <c r="DU868" s="94"/>
      <c r="DV868" s="94"/>
      <c r="DW868" s="94"/>
      <c r="DX868" s="94"/>
      <c r="DY868" s="94"/>
      <c r="DZ868" s="94"/>
      <c r="EA868" s="94"/>
      <c r="EB868" s="94"/>
      <c r="EC868" s="94"/>
      <c r="ED868" s="94"/>
      <c r="EE868" s="94"/>
      <c r="EF868" s="94"/>
      <c r="EG868" s="94"/>
      <c r="EH868" s="94"/>
      <c r="EI868" s="94"/>
      <c r="EJ868" s="94"/>
      <c r="EK868" s="94"/>
      <c r="EL868" s="94"/>
      <c r="EM868" s="94"/>
      <c r="EN868" s="94"/>
      <c r="EO868" s="94"/>
      <c r="EP868" s="94"/>
      <c r="EQ868" s="94"/>
      <c r="ER868" s="94"/>
      <c r="ES868" s="94"/>
      <c r="ET868" s="94"/>
      <c r="EU868" s="94"/>
      <c r="EV868" s="94"/>
      <c r="EW868" s="94"/>
      <c r="EX868" s="94"/>
      <c r="EY868" s="94"/>
      <c r="EZ868" s="94"/>
      <c r="FA868" s="94"/>
      <c r="FB868" s="94"/>
      <c r="FC868" s="94"/>
      <c r="FD868" s="94"/>
      <c r="FE868" s="94"/>
      <c r="FF868" s="94"/>
      <c r="FG868" s="94"/>
      <c r="FH868" s="94"/>
      <c r="FI868" s="94"/>
      <c r="FJ868" s="94"/>
      <c r="FK868" s="94"/>
      <c r="FL868" s="94"/>
      <c r="FM868" s="94"/>
      <c r="FN868" s="94"/>
      <c r="FO868" s="94"/>
      <c r="FP868" s="94"/>
      <c r="FQ868" s="94"/>
      <c r="FR868" s="94"/>
      <c r="FS868" s="94"/>
      <c r="FT868" s="94"/>
      <c r="FU868" s="94"/>
    </row>
    <row r="869" spans="1:177" s="134" customFormat="1" ht="21" customHeight="1" thickBot="1" x14ac:dyDescent="0.25">
      <c r="A869" s="94"/>
      <c r="B869" s="30" t="s">
        <v>30</v>
      </c>
      <c r="C869" s="6" t="s">
        <v>31</v>
      </c>
      <c r="D869" s="30" t="s">
        <v>105</v>
      </c>
      <c r="E869" s="32" t="s">
        <v>32</v>
      </c>
      <c r="F869" s="467"/>
      <c r="G869" s="33" t="s">
        <v>33</v>
      </c>
      <c r="H869" s="34">
        <v>45657</v>
      </c>
      <c r="I869" s="35">
        <v>2023</v>
      </c>
      <c r="J869" s="35"/>
      <c r="K869" s="35"/>
      <c r="L869" s="35"/>
      <c r="M869" s="36"/>
      <c r="N869" s="37"/>
      <c r="O869" s="38">
        <v>2024</v>
      </c>
      <c r="P869" s="39" t="s">
        <v>34</v>
      </c>
      <c r="Q869" s="40" t="s">
        <v>35</v>
      </c>
      <c r="R869" s="39" t="s">
        <v>36</v>
      </c>
      <c r="S869" s="41" t="s">
        <v>37</v>
      </c>
      <c r="T869" s="42" t="s">
        <v>38</v>
      </c>
      <c r="U869" s="43" t="s">
        <v>39</v>
      </c>
      <c r="V869" s="41" t="s">
        <v>39</v>
      </c>
      <c r="W869" s="44" t="s">
        <v>15</v>
      </c>
      <c r="X869" s="45" t="s">
        <v>35</v>
      </c>
      <c r="Y869" s="42" t="s">
        <v>35</v>
      </c>
      <c r="Z869" s="40" t="s">
        <v>35</v>
      </c>
      <c r="AA869" s="46" t="s">
        <v>35</v>
      </c>
      <c r="AB869" s="41" t="s">
        <v>35</v>
      </c>
      <c r="AC869" s="40" t="s">
        <v>35</v>
      </c>
      <c r="AD869" s="40" t="s">
        <v>35</v>
      </c>
      <c r="AE869" s="40" t="s">
        <v>35</v>
      </c>
      <c r="AF869" s="41" t="s">
        <v>35</v>
      </c>
      <c r="AG869" s="40" t="s">
        <v>35</v>
      </c>
      <c r="AH869" s="135"/>
      <c r="AI869" s="135"/>
      <c r="AJ869" s="30" t="s">
        <v>30</v>
      </c>
      <c r="AK869" s="6" t="s">
        <v>31</v>
      </c>
      <c r="AL869" s="30" t="s">
        <v>105</v>
      </c>
      <c r="AM869" s="32" t="s">
        <v>32</v>
      </c>
      <c r="AN869" s="467"/>
      <c r="AO869" s="40" t="s">
        <v>40</v>
      </c>
      <c r="AP869" s="39" t="s">
        <v>41</v>
      </c>
      <c r="AQ869" s="48" t="s">
        <v>40</v>
      </c>
      <c r="AR869" s="49" t="s">
        <v>40</v>
      </c>
      <c r="AS869" s="49" t="s">
        <v>40</v>
      </c>
      <c r="AT869" s="46" t="s">
        <v>40</v>
      </c>
      <c r="AU869" s="49" t="s">
        <v>40</v>
      </c>
      <c r="AV869" s="48" t="s">
        <v>40</v>
      </c>
      <c r="AW869" s="49" t="s">
        <v>40</v>
      </c>
      <c r="AX869" s="49" t="s">
        <v>40</v>
      </c>
      <c r="AY869" s="48" t="s">
        <v>40</v>
      </c>
      <c r="AZ869" s="49" t="s">
        <v>40</v>
      </c>
      <c r="BA869" s="94"/>
      <c r="BB869" s="92"/>
      <c r="BC869" s="95"/>
      <c r="BD869" s="95"/>
      <c r="BE869" s="95"/>
      <c r="BF869" s="94"/>
      <c r="BG869" s="94"/>
      <c r="BH869" s="94"/>
      <c r="BI869" s="94"/>
      <c r="BJ869" s="94"/>
      <c r="BK869" s="94"/>
      <c r="BL869" s="94"/>
      <c r="BM869" s="94"/>
      <c r="BN869" s="94"/>
      <c r="BO869" s="94"/>
      <c r="BP869" s="94"/>
      <c r="BQ869" s="94"/>
      <c r="BR869" s="94"/>
      <c r="BS869" s="94"/>
      <c r="BT869" s="94"/>
      <c r="BU869" s="94"/>
      <c r="BV869" s="94"/>
      <c r="BW869" s="94"/>
      <c r="BX869" s="94"/>
      <c r="BY869" s="94"/>
      <c r="BZ869" s="94"/>
      <c r="CA869" s="94"/>
      <c r="CB869" s="94"/>
      <c r="CC869" s="94"/>
      <c r="CD869" s="94"/>
      <c r="CE869" s="94"/>
      <c r="CF869" s="94"/>
      <c r="CG869" s="94"/>
      <c r="CH869" s="94"/>
      <c r="CI869" s="94"/>
      <c r="CJ869" s="94"/>
      <c r="CK869" s="94"/>
      <c r="CL869" s="94"/>
      <c r="CM869" s="94"/>
      <c r="CN869" s="94"/>
      <c r="CO869" s="94"/>
      <c r="CP869" s="94"/>
      <c r="CQ869" s="94"/>
      <c r="CR869" s="94"/>
      <c r="CS869" s="94"/>
      <c r="CT869" s="94"/>
      <c r="CU869" s="94"/>
      <c r="CV869" s="94"/>
      <c r="CW869" s="94"/>
      <c r="CX869" s="94"/>
      <c r="CY869" s="94"/>
      <c r="CZ869" s="94"/>
      <c r="DA869" s="94"/>
      <c r="DB869" s="94"/>
      <c r="DC869" s="94"/>
      <c r="DD869" s="94"/>
      <c r="DE869" s="94"/>
      <c r="DF869" s="94"/>
      <c r="DG869" s="94"/>
      <c r="DH869" s="94"/>
      <c r="DI869" s="94"/>
      <c r="DJ869" s="94"/>
      <c r="DK869" s="94"/>
      <c r="DL869" s="94"/>
      <c r="DM869" s="94"/>
      <c r="DN869" s="94"/>
      <c r="DO869" s="94"/>
      <c r="DP869" s="94"/>
      <c r="DQ869" s="94"/>
      <c r="DR869" s="94"/>
      <c r="DS869" s="94"/>
      <c r="DT869" s="94"/>
      <c r="DU869" s="94"/>
      <c r="DV869" s="94"/>
      <c r="DW869" s="94"/>
      <c r="DX869" s="94"/>
      <c r="DY869" s="94"/>
      <c r="DZ869" s="94"/>
      <c r="EA869" s="94"/>
      <c r="EB869" s="94"/>
      <c r="EC869" s="94"/>
      <c r="ED869" s="94"/>
      <c r="EE869" s="94"/>
      <c r="EF869" s="94"/>
      <c r="EG869" s="94"/>
      <c r="EH869" s="94"/>
      <c r="EI869" s="94"/>
      <c r="EJ869" s="94"/>
      <c r="EK869" s="94"/>
      <c r="EL869" s="94"/>
      <c r="EM869" s="94"/>
      <c r="EN869" s="94"/>
      <c r="EO869" s="94"/>
      <c r="EP869" s="94"/>
      <c r="EQ869" s="94"/>
      <c r="ER869" s="94"/>
      <c r="ES869" s="94"/>
      <c r="ET869" s="94"/>
      <c r="EU869" s="94"/>
      <c r="EV869" s="94"/>
      <c r="EW869" s="94"/>
      <c r="EX869" s="94"/>
      <c r="EY869" s="94"/>
      <c r="EZ869" s="94"/>
      <c r="FA869" s="94"/>
      <c r="FB869" s="94"/>
      <c r="FC869" s="94"/>
      <c r="FD869" s="94"/>
      <c r="FE869" s="94"/>
      <c r="FF869" s="94"/>
      <c r="FG869" s="94"/>
      <c r="FH869" s="94"/>
      <c r="FI869" s="94"/>
      <c r="FJ869" s="94"/>
      <c r="FK869" s="94"/>
      <c r="FL869" s="94"/>
      <c r="FM869" s="94"/>
      <c r="FN869" s="94"/>
      <c r="FO869" s="94"/>
      <c r="FP869" s="94"/>
      <c r="FQ869" s="94"/>
      <c r="FR869" s="94"/>
      <c r="FS869" s="94"/>
      <c r="FT869" s="94"/>
      <c r="FU869" s="94"/>
    </row>
    <row r="870" spans="1:177" ht="21" customHeight="1" x14ac:dyDescent="0.2">
      <c r="B870" s="51">
        <v>1</v>
      </c>
      <c r="C870" s="77" t="s">
        <v>42</v>
      </c>
      <c r="D870" s="51">
        <v>16417</v>
      </c>
      <c r="E870" s="243" t="s">
        <v>1052</v>
      </c>
      <c r="F870" s="53" t="s">
        <v>1053</v>
      </c>
      <c r="G870" s="55">
        <v>42095</v>
      </c>
      <c r="H870" s="56" t="str">
        <f t="shared" ref="H870:H886" si="1022" xml:space="preserve"> CONCATENATE(DATEDIF(G870,H$5,"Y")," AÑOS")</f>
        <v>9 AÑOS</v>
      </c>
      <c r="I870" s="57">
        <v>4913.376968141848</v>
      </c>
      <c r="J870" s="58"/>
      <c r="K870" s="58"/>
      <c r="L870" s="59"/>
      <c r="M870" s="60">
        <v>4.0000000000000002E-4</v>
      </c>
      <c r="N870" s="61">
        <f t="shared" ref="N870:N886" si="1023">I870*0.04</f>
        <v>196.53507872567391</v>
      </c>
      <c r="O870" s="58">
        <f t="shared" ref="O870:O886" si="1024">I870+N870</f>
        <v>5109.9120468675219</v>
      </c>
      <c r="P870" s="61">
        <f t="shared" ref="P870:P886" si="1025">O870*2</f>
        <v>10219.824093735044</v>
      </c>
      <c r="Q870" s="61">
        <f t="shared" ref="Q870:Q886" si="1026">P870*0.75</f>
        <v>7664.8680703012833</v>
      </c>
      <c r="R870" s="61">
        <f t="shared" ref="R870:R886" si="1027">P870*0.25</f>
        <v>2554.9560234337609</v>
      </c>
      <c r="S870" s="61">
        <f t="shared" ref="S870:S886" si="1028">(P870/30)</f>
        <v>340.66080312450146</v>
      </c>
      <c r="T870" s="58">
        <f t="shared" ref="T870:T914" si="1029">S870*1.1479</f>
        <v>391.04453590661518</v>
      </c>
      <c r="U870" s="61">
        <f t="shared" ref="U870:U886" si="1030">O870*0.75</f>
        <v>3832.4340351506416</v>
      </c>
      <c r="V870" s="58">
        <f t="shared" ref="V870:V886" si="1031">O870*0.25</f>
        <v>1277.4780117168805</v>
      </c>
      <c r="W870" s="62">
        <v>0</v>
      </c>
      <c r="X870" s="63">
        <f t="shared" ref="X870:X886" si="1032">P870*W870</f>
        <v>0</v>
      </c>
      <c r="Y870" s="61">
        <v>520.97691004877959</v>
      </c>
      <c r="Z870" s="61">
        <v>0</v>
      </c>
      <c r="AA870" s="61">
        <f t="shared" ref="AA870:AA886" si="1033">(S870*45)/12</f>
        <v>1277.4780117168805</v>
      </c>
      <c r="AB870" s="61">
        <f t="shared" ref="AB870:AB886" si="1034">(S870*10)*(0.45*2)/12</f>
        <v>255.49560234337608</v>
      </c>
      <c r="AC870" s="61">
        <v>1800.9612759438785</v>
      </c>
      <c r="AD870" s="61">
        <v>970.3965680790609</v>
      </c>
      <c r="AE870" s="61">
        <v>606.1190306552536</v>
      </c>
      <c r="AF870" s="61">
        <v>0</v>
      </c>
      <c r="AG870" s="61">
        <f t="shared" ref="AG870:AG886" si="1035">(P870+AA870+AB870)*0.03</f>
        <v>352.58393123385906</v>
      </c>
      <c r="AH870" s="64"/>
      <c r="AI870" s="64"/>
      <c r="AJ870" s="51">
        <v>1</v>
      </c>
      <c r="AK870" s="77" t="s">
        <v>42</v>
      </c>
      <c r="AL870" s="51">
        <v>16417</v>
      </c>
      <c r="AM870" s="243" t="s">
        <v>1052</v>
      </c>
      <c r="AN870" s="53" t="s">
        <v>1053</v>
      </c>
      <c r="AO870" s="65">
        <f>Q870*12</f>
        <v>91978.4168436154</v>
      </c>
      <c r="AP870" s="65">
        <f>R870*12</f>
        <v>30659.472281205133</v>
      </c>
      <c r="AQ870" s="65">
        <f t="shared" ref="AQ870:AZ870" si="1036">X870*12</f>
        <v>0</v>
      </c>
      <c r="AR870" s="65">
        <f t="shared" si="1036"/>
        <v>6251.7229205853546</v>
      </c>
      <c r="AS870" s="65">
        <f t="shared" si="1036"/>
        <v>0</v>
      </c>
      <c r="AT870" s="65">
        <f t="shared" si="1036"/>
        <v>15329.736140602567</v>
      </c>
      <c r="AU870" s="65">
        <f t="shared" si="1036"/>
        <v>3065.947228120513</v>
      </c>
      <c r="AV870" s="65">
        <f t="shared" si="1036"/>
        <v>21611.535311326541</v>
      </c>
      <c r="AW870" s="65">
        <f t="shared" si="1036"/>
        <v>11644.758816948732</v>
      </c>
      <c r="AX870" s="65">
        <f t="shared" si="1036"/>
        <v>7273.4283678630436</v>
      </c>
      <c r="AY870" s="65">
        <f t="shared" si="1036"/>
        <v>0</v>
      </c>
      <c r="AZ870" s="65">
        <f t="shared" si="1036"/>
        <v>4231.0071748063092</v>
      </c>
      <c r="BB870" s="64"/>
      <c r="BC870" s="66"/>
      <c r="BD870" s="66"/>
      <c r="BE870" s="66"/>
    </row>
    <row r="871" spans="1:177" s="364" customFormat="1" ht="21" customHeight="1" x14ac:dyDescent="0.2">
      <c r="B871" s="369">
        <v>2</v>
      </c>
      <c r="C871" s="376" t="s">
        <v>42</v>
      </c>
      <c r="D871" s="369"/>
      <c r="E871" s="411" t="s">
        <v>55</v>
      </c>
      <c r="F871" s="371" t="s">
        <v>1054</v>
      </c>
      <c r="G871" s="56"/>
      <c r="H871" s="56"/>
      <c r="I871" s="57">
        <v>6350.9317058411743</v>
      </c>
      <c r="J871" s="58"/>
      <c r="K871" s="58"/>
      <c r="L871" s="59"/>
      <c r="M871" s="60">
        <v>4.0000000000000002E-4</v>
      </c>
      <c r="N871" s="61">
        <f t="shared" si="1023"/>
        <v>254.03726823364698</v>
      </c>
      <c r="O871" s="58">
        <f t="shared" si="1024"/>
        <v>6604.9689740748217</v>
      </c>
      <c r="P871" s="61">
        <f t="shared" si="1025"/>
        <v>13209.937948149643</v>
      </c>
      <c r="Q871" s="61">
        <f t="shared" si="1026"/>
        <v>9907.4534611122326</v>
      </c>
      <c r="R871" s="61">
        <f t="shared" si="1027"/>
        <v>3302.4844870374109</v>
      </c>
      <c r="S871" s="61">
        <f t="shared" si="1028"/>
        <v>440.33126493832145</v>
      </c>
      <c r="T871" s="58">
        <f t="shared" si="1029"/>
        <v>505.45625902269916</v>
      </c>
      <c r="U871" s="61">
        <f t="shared" si="1030"/>
        <v>4953.7267305561163</v>
      </c>
      <c r="V871" s="58">
        <f t="shared" si="1031"/>
        <v>1651.2422435187054</v>
      </c>
      <c r="W871" s="62">
        <v>0</v>
      </c>
      <c r="X871" s="63">
        <f t="shared" si="1032"/>
        <v>0</v>
      </c>
      <c r="Y871" s="61">
        <v>764.97020056901079</v>
      </c>
      <c r="Z871" s="61">
        <v>0</v>
      </c>
      <c r="AA871" s="61">
        <f t="shared" si="1033"/>
        <v>1651.2422435187054</v>
      </c>
      <c r="AB871" s="61">
        <f t="shared" si="1034"/>
        <v>330.24844870374108</v>
      </c>
      <c r="AC871" s="61">
        <v>2167.4352167563707</v>
      </c>
      <c r="AD871" s="61">
        <v>1324.8261277114457</v>
      </c>
      <c r="AE871" s="61">
        <v>783.45720148518376</v>
      </c>
      <c r="AF871" s="61">
        <v>0</v>
      </c>
      <c r="AG871" s="61">
        <f t="shared" si="1035"/>
        <v>455.74285921116268</v>
      </c>
      <c r="AH871" s="64"/>
      <c r="AI871" s="64"/>
      <c r="AJ871" s="369">
        <v>2</v>
      </c>
      <c r="AK871" s="376" t="s">
        <v>42</v>
      </c>
      <c r="AL871" s="369"/>
      <c r="AM871" s="411" t="s">
        <v>55</v>
      </c>
      <c r="AN871" s="371" t="s">
        <v>1054</v>
      </c>
      <c r="AO871" s="368">
        <f>Q871*9.5</f>
        <v>94120.807880566208</v>
      </c>
      <c r="AP871" s="368">
        <f>R871*9.5</f>
        <v>31373.602626855405</v>
      </c>
      <c r="AQ871" s="368">
        <f t="shared" ref="AQ871:AZ871" si="1037">X871*9.5</f>
        <v>0</v>
      </c>
      <c r="AR871" s="368">
        <f t="shared" si="1037"/>
        <v>7267.2169054056021</v>
      </c>
      <c r="AS871" s="368">
        <f t="shared" si="1037"/>
        <v>0</v>
      </c>
      <c r="AT871" s="368">
        <f t="shared" si="1037"/>
        <v>15686.801313427703</v>
      </c>
      <c r="AU871" s="368">
        <f t="shared" si="1037"/>
        <v>3137.3602626855404</v>
      </c>
      <c r="AV871" s="368">
        <f t="shared" si="1037"/>
        <v>20590.634559185521</v>
      </c>
      <c r="AW871" s="368">
        <f t="shared" si="1037"/>
        <v>12585.848213258734</v>
      </c>
      <c r="AX871" s="368">
        <f t="shared" si="1037"/>
        <v>7442.8434141092457</v>
      </c>
      <c r="AY871" s="368">
        <f t="shared" si="1037"/>
        <v>0</v>
      </c>
      <c r="AZ871" s="368">
        <f t="shared" si="1037"/>
        <v>4329.5571625060456</v>
      </c>
      <c r="BB871" s="64"/>
      <c r="BC871" s="66"/>
      <c r="BD871" s="66"/>
      <c r="BE871" s="66"/>
    </row>
    <row r="872" spans="1:177" ht="21" customHeight="1" x14ac:dyDescent="0.2">
      <c r="B872" s="51">
        <v>3</v>
      </c>
      <c r="C872" s="73" t="s">
        <v>42</v>
      </c>
      <c r="D872" s="67">
        <v>19049</v>
      </c>
      <c r="E872" s="212" t="s">
        <v>1055</v>
      </c>
      <c r="F872" s="72" t="s">
        <v>1056</v>
      </c>
      <c r="G872" s="169">
        <v>44485</v>
      </c>
      <c r="H872" s="56" t="str">
        <f t="shared" si="1022"/>
        <v>3 AÑOS</v>
      </c>
      <c r="I872" s="57">
        <v>12791.955793909539</v>
      </c>
      <c r="J872" s="58"/>
      <c r="K872" s="58"/>
      <c r="L872" s="59"/>
      <c r="M872" s="60">
        <v>4.0000000000000002E-4</v>
      </c>
      <c r="N872" s="61">
        <f t="shared" si="1023"/>
        <v>511.67823175638159</v>
      </c>
      <c r="O872" s="58">
        <f t="shared" si="1024"/>
        <v>13303.63402566592</v>
      </c>
      <c r="P872" s="61">
        <f t="shared" si="1025"/>
        <v>26607.268051331841</v>
      </c>
      <c r="Q872" s="61">
        <f t="shared" si="1026"/>
        <v>19955.451038498883</v>
      </c>
      <c r="R872" s="61">
        <f t="shared" si="1027"/>
        <v>6651.8170128329602</v>
      </c>
      <c r="S872" s="61">
        <f t="shared" si="1028"/>
        <v>886.90893504439475</v>
      </c>
      <c r="T872" s="58">
        <f t="shared" si="1029"/>
        <v>1018.0827665374607</v>
      </c>
      <c r="U872" s="61">
        <f t="shared" si="1030"/>
        <v>9977.7255192494413</v>
      </c>
      <c r="V872" s="58">
        <f t="shared" si="1031"/>
        <v>3325.9085064164801</v>
      </c>
      <c r="W872" s="62">
        <v>0</v>
      </c>
      <c r="X872" s="63">
        <f t="shared" si="1032"/>
        <v>0</v>
      </c>
      <c r="Y872" s="61">
        <v>2616.3603898233614</v>
      </c>
      <c r="Z872" s="61">
        <v>0</v>
      </c>
      <c r="AA872" s="61">
        <f t="shared" si="1033"/>
        <v>3325.9085064164806</v>
      </c>
      <c r="AB872" s="61">
        <f t="shared" si="1034"/>
        <v>665.18170128329609</v>
      </c>
      <c r="AC872" s="61">
        <v>3809.4370261624681</v>
      </c>
      <c r="AD872" s="61">
        <v>2668.4458352330112</v>
      </c>
      <c r="AE872" s="61">
        <v>1578.0282881330641</v>
      </c>
      <c r="AF872" s="61">
        <v>0</v>
      </c>
      <c r="AG872" s="61">
        <f t="shared" si="1035"/>
        <v>917.9507477709484</v>
      </c>
      <c r="AH872" s="64"/>
      <c r="AI872" s="64"/>
      <c r="AJ872" s="51">
        <v>3</v>
      </c>
      <c r="AK872" s="73" t="s">
        <v>42</v>
      </c>
      <c r="AL872" s="67">
        <v>19049</v>
      </c>
      <c r="AM872" s="212" t="s">
        <v>1055</v>
      </c>
      <c r="AN872" s="72" t="s">
        <v>1056</v>
      </c>
      <c r="AO872" s="65">
        <f t="shared" ref="AO872:AP876" si="1038">Q872*12</f>
        <v>239465.41246198659</v>
      </c>
      <c r="AP872" s="65">
        <f t="shared" si="1038"/>
        <v>79821.80415399553</v>
      </c>
      <c r="AQ872" s="65">
        <f t="shared" ref="AQ872:AZ876" si="1039">X872*12</f>
        <v>0</v>
      </c>
      <c r="AR872" s="65">
        <f t="shared" si="1039"/>
        <v>31396.324677880337</v>
      </c>
      <c r="AS872" s="65">
        <f t="shared" si="1039"/>
        <v>0</v>
      </c>
      <c r="AT872" s="65">
        <f t="shared" si="1039"/>
        <v>39910.902076997765</v>
      </c>
      <c r="AU872" s="65">
        <f t="shared" si="1039"/>
        <v>7982.1804153995527</v>
      </c>
      <c r="AV872" s="65">
        <f t="shared" si="1039"/>
        <v>45713.244313949617</v>
      </c>
      <c r="AW872" s="65">
        <f t="shared" si="1039"/>
        <v>32021.350022796134</v>
      </c>
      <c r="AX872" s="65">
        <f t="shared" si="1039"/>
        <v>18936.339457596769</v>
      </c>
      <c r="AY872" s="65">
        <f t="shared" si="1039"/>
        <v>0</v>
      </c>
      <c r="AZ872" s="65">
        <f t="shared" si="1039"/>
        <v>11015.40897325138</v>
      </c>
      <c r="BB872" s="64"/>
      <c r="BC872" s="66"/>
      <c r="BD872" s="66"/>
      <c r="BE872" s="66"/>
    </row>
    <row r="873" spans="1:177" ht="21" customHeight="1" x14ac:dyDescent="0.2">
      <c r="B873" s="67">
        <v>4</v>
      </c>
      <c r="C873" s="73" t="s">
        <v>42</v>
      </c>
      <c r="D873" s="67">
        <v>19027</v>
      </c>
      <c r="E873" s="72" t="s">
        <v>1057</v>
      </c>
      <c r="F873" s="72" t="s">
        <v>1058</v>
      </c>
      <c r="G873" s="55">
        <v>41122</v>
      </c>
      <c r="H873" s="56" t="str">
        <f t="shared" si="1022"/>
        <v>12 AÑOS</v>
      </c>
      <c r="I873" s="57">
        <v>5557.5375010662483</v>
      </c>
      <c r="J873" s="58"/>
      <c r="K873" s="58"/>
      <c r="L873" s="59"/>
      <c r="M873" s="60">
        <v>4.0000000000000002E-4</v>
      </c>
      <c r="N873" s="61">
        <f t="shared" si="1023"/>
        <v>222.30150004264993</v>
      </c>
      <c r="O873" s="58">
        <f t="shared" si="1024"/>
        <v>5779.8390011088986</v>
      </c>
      <c r="P873" s="61">
        <f t="shared" si="1025"/>
        <v>11559.678002217797</v>
      </c>
      <c r="Q873" s="61">
        <f t="shared" si="1026"/>
        <v>8669.7585016633475</v>
      </c>
      <c r="R873" s="61">
        <f t="shared" si="1027"/>
        <v>2889.9195005544493</v>
      </c>
      <c r="S873" s="61">
        <f t="shared" si="1028"/>
        <v>385.32260007392659</v>
      </c>
      <c r="T873" s="58">
        <f t="shared" si="1029"/>
        <v>442.31181262486029</v>
      </c>
      <c r="U873" s="61">
        <f t="shared" si="1030"/>
        <v>4334.8792508316737</v>
      </c>
      <c r="V873" s="58">
        <f t="shared" si="1031"/>
        <v>1444.9597502772247</v>
      </c>
      <c r="W873" s="62">
        <v>0</v>
      </c>
      <c r="X873" s="63">
        <f t="shared" si="1032"/>
        <v>0</v>
      </c>
      <c r="Y873" s="61">
        <v>630.30898898097212</v>
      </c>
      <c r="Z873" s="61">
        <v>0</v>
      </c>
      <c r="AA873" s="61">
        <f t="shared" si="1033"/>
        <v>1444.9597502772247</v>
      </c>
      <c r="AB873" s="61">
        <f t="shared" si="1034"/>
        <v>288.99195005544499</v>
      </c>
      <c r="AC873" s="61">
        <v>1965.176274389423</v>
      </c>
      <c r="AD873" s="61">
        <v>1159.32137648039</v>
      </c>
      <c r="AE873" s="61">
        <v>685.58330956853342</v>
      </c>
      <c r="AF873" s="61">
        <v>0</v>
      </c>
      <c r="AG873" s="61">
        <f t="shared" si="1035"/>
        <v>398.80889107651399</v>
      </c>
      <c r="AH873" s="64"/>
      <c r="AI873" s="64"/>
      <c r="AJ873" s="67">
        <v>4</v>
      </c>
      <c r="AK873" s="73" t="s">
        <v>42</v>
      </c>
      <c r="AL873" s="67">
        <v>19027</v>
      </c>
      <c r="AM873" s="72" t="s">
        <v>1057</v>
      </c>
      <c r="AN873" s="72" t="s">
        <v>1058</v>
      </c>
      <c r="AO873" s="65">
        <f t="shared" si="1038"/>
        <v>104037.10201996018</v>
      </c>
      <c r="AP873" s="65">
        <f t="shared" si="1038"/>
        <v>34679.03400665339</v>
      </c>
      <c r="AQ873" s="65">
        <f t="shared" si="1039"/>
        <v>0</v>
      </c>
      <c r="AR873" s="65">
        <f t="shared" si="1039"/>
        <v>7563.7078677716654</v>
      </c>
      <c r="AS873" s="65">
        <f t="shared" si="1039"/>
        <v>0</v>
      </c>
      <c r="AT873" s="65">
        <f t="shared" si="1039"/>
        <v>17339.517003326695</v>
      </c>
      <c r="AU873" s="65">
        <f t="shared" si="1039"/>
        <v>3467.9034006653401</v>
      </c>
      <c r="AV873" s="65">
        <f t="shared" si="1039"/>
        <v>23582.115292673076</v>
      </c>
      <c r="AW873" s="65">
        <f t="shared" si="1039"/>
        <v>13911.85651776468</v>
      </c>
      <c r="AX873" s="65">
        <f t="shared" si="1039"/>
        <v>8226.9997148224011</v>
      </c>
      <c r="AY873" s="65">
        <f t="shared" si="1039"/>
        <v>0</v>
      </c>
      <c r="AZ873" s="65">
        <f t="shared" si="1039"/>
        <v>4785.7066929181674</v>
      </c>
      <c r="BB873" s="64"/>
      <c r="BC873" s="66"/>
      <c r="BD873" s="66"/>
      <c r="BE873" s="66"/>
    </row>
    <row r="874" spans="1:177" ht="21" customHeight="1" x14ac:dyDescent="0.2">
      <c r="B874" s="51">
        <v>5</v>
      </c>
      <c r="C874" s="73" t="s">
        <v>42</v>
      </c>
      <c r="D874" s="67">
        <v>19002</v>
      </c>
      <c r="E874" s="72" t="s">
        <v>1059</v>
      </c>
      <c r="F874" s="72" t="s">
        <v>1060</v>
      </c>
      <c r="G874" s="55">
        <v>37895</v>
      </c>
      <c r="H874" s="56" t="str">
        <f t="shared" si="1022"/>
        <v>21 AÑOS</v>
      </c>
      <c r="I874" s="57">
        <v>4913.376968141848</v>
      </c>
      <c r="J874" s="58"/>
      <c r="K874" s="58"/>
      <c r="L874" s="59"/>
      <c r="M874" s="60">
        <v>4.0000000000000002E-4</v>
      </c>
      <c r="N874" s="61">
        <f t="shared" si="1023"/>
        <v>196.53507872567391</v>
      </c>
      <c r="O874" s="58">
        <f t="shared" si="1024"/>
        <v>5109.9120468675219</v>
      </c>
      <c r="P874" s="61">
        <f t="shared" si="1025"/>
        <v>10219.824093735044</v>
      </c>
      <c r="Q874" s="61">
        <f t="shared" si="1026"/>
        <v>7664.8680703012833</v>
      </c>
      <c r="R874" s="61">
        <f t="shared" si="1027"/>
        <v>2554.9560234337609</v>
      </c>
      <c r="S874" s="61">
        <f t="shared" si="1028"/>
        <v>340.66080312450146</v>
      </c>
      <c r="T874" s="58">
        <f t="shared" si="1029"/>
        <v>391.04453590661518</v>
      </c>
      <c r="U874" s="61">
        <f t="shared" si="1030"/>
        <v>3832.4340351506416</v>
      </c>
      <c r="V874" s="58">
        <f t="shared" si="1031"/>
        <v>1277.4780117168805</v>
      </c>
      <c r="W874" s="62">
        <v>0</v>
      </c>
      <c r="X874" s="63">
        <f t="shared" si="1032"/>
        <v>0</v>
      </c>
      <c r="Y874" s="61">
        <v>520.97691004877959</v>
      </c>
      <c r="Z874" s="61">
        <v>0</v>
      </c>
      <c r="AA874" s="61">
        <f t="shared" si="1033"/>
        <v>1277.4780117168805</v>
      </c>
      <c r="AB874" s="61">
        <f t="shared" si="1034"/>
        <v>255.49560234337608</v>
      </c>
      <c r="AC874" s="61">
        <v>1800.9612759438785</v>
      </c>
      <c r="AD874" s="61">
        <v>970.3965680790609</v>
      </c>
      <c r="AE874" s="61">
        <v>606.1190306552536</v>
      </c>
      <c r="AF874" s="61">
        <v>0</v>
      </c>
      <c r="AG874" s="61">
        <f t="shared" si="1035"/>
        <v>352.58393123385906</v>
      </c>
      <c r="AH874" s="64"/>
      <c r="AI874" s="64"/>
      <c r="AJ874" s="51">
        <v>5</v>
      </c>
      <c r="AK874" s="73" t="s">
        <v>42</v>
      </c>
      <c r="AL874" s="67">
        <v>19002</v>
      </c>
      <c r="AM874" s="72" t="s">
        <v>1059</v>
      </c>
      <c r="AN874" s="72" t="s">
        <v>1060</v>
      </c>
      <c r="AO874" s="65">
        <f t="shared" si="1038"/>
        <v>91978.4168436154</v>
      </c>
      <c r="AP874" s="65">
        <f t="shared" si="1038"/>
        <v>30659.472281205133</v>
      </c>
      <c r="AQ874" s="65">
        <f t="shared" si="1039"/>
        <v>0</v>
      </c>
      <c r="AR874" s="65">
        <f t="shared" si="1039"/>
        <v>6251.7229205853546</v>
      </c>
      <c r="AS874" s="65">
        <f t="shared" si="1039"/>
        <v>0</v>
      </c>
      <c r="AT874" s="65">
        <f t="shared" si="1039"/>
        <v>15329.736140602567</v>
      </c>
      <c r="AU874" s="65">
        <f t="shared" si="1039"/>
        <v>3065.947228120513</v>
      </c>
      <c r="AV874" s="65">
        <f t="shared" si="1039"/>
        <v>21611.535311326541</v>
      </c>
      <c r="AW874" s="65">
        <f t="shared" si="1039"/>
        <v>11644.758816948732</v>
      </c>
      <c r="AX874" s="65">
        <f t="shared" si="1039"/>
        <v>7273.4283678630436</v>
      </c>
      <c r="AY874" s="65">
        <f t="shared" si="1039"/>
        <v>0</v>
      </c>
      <c r="AZ874" s="65">
        <f t="shared" si="1039"/>
        <v>4231.0071748063092</v>
      </c>
      <c r="BB874" s="64"/>
      <c r="BC874" s="66"/>
      <c r="BD874" s="66"/>
      <c r="BE874" s="66"/>
    </row>
    <row r="875" spans="1:177" ht="21" customHeight="1" x14ac:dyDescent="0.2">
      <c r="B875" s="51">
        <v>6</v>
      </c>
      <c r="C875" s="73" t="s">
        <v>42</v>
      </c>
      <c r="D875" s="67">
        <v>4044</v>
      </c>
      <c r="E875" s="72" t="s">
        <v>1061</v>
      </c>
      <c r="F875" s="72" t="s">
        <v>1062</v>
      </c>
      <c r="G875" s="55">
        <v>43525</v>
      </c>
      <c r="H875" s="56" t="str">
        <f t="shared" si="1022"/>
        <v>5 AÑOS</v>
      </c>
      <c r="I875" s="57">
        <v>4492.0813916160005</v>
      </c>
      <c r="J875" s="58"/>
      <c r="K875" s="58"/>
      <c r="L875" s="59"/>
      <c r="M875" s="60">
        <v>4.0000000000000002E-4</v>
      </c>
      <c r="N875" s="61">
        <f t="shared" si="1023"/>
        <v>179.68325566464003</v>
      </c>
      <c r="O875" s="58">
        <f t="shared" si="1024"/>
        <v>4671.7646472806409</v>
      </c>
      <c r="P875" s="61">
        <f t="shared" si="1025"/>
        <v>9343.5292945612819</v>
      </c>
      <c r="Q875" s="61">
        <f t="shared" si="1026"/>
        <v>7007.6469709209614</v>
      </c>
      <c r="R875" s="61">
        <f t="shared" si="1027"/>
        <v>2335.8823236403205</v>
      </c>
      <c r="S875" s="61">
        <f t="shared" si="1028"/>
        <v>311.45097648537609</v>
      </c>
      <c r="T875" s="58">
        <f t="shared" si="1029"/>
        <v>357.5145759075632</v>
      </c>
      <c r="U875" s="61">
        <f t="shared" si="1030"/>
        <v>3503.8234854604807</v>
      </c>
      <c r="V875" s="58">
        <f t="shared" si="1031"/>
        <v>1167.9411618201602</v>
      </c>
      <c r="W875" s="62">
        <v>0</v>
      </c>
      <c r="X875" s="63">
        <f t="shared" si="1032"/>
        <v>0</v>
      </c>
      <c r="Y875" s="61">
        <v>199.27125443620054</v>
      </c>
      <c r="Z875" s="61">
        <v>0</v>
      </c>
      <c r="AA875" s="61">
        <f t="shared" si="1033"/>
        <v>1167.9411618201605</v>
      </c>
      <c r="AB875" s="61">
        <f t="shared" si="1034"/>
        <v>233.58823236403205</v>
      </c>
      <c r="AC875" s="61">
        <v>1693.5609480625269</v>
      </c>
      <c r="AD875" s="61">
        <v>873.89075361965206</v>
      </c>
      <c r="AE875" s="61">
        <v>554.14759265672296</v>
      </c>
      <c r="AF875" s="61">
        <v>0</v>
      </c>
      <c r="AG875" s="61">
        <f t="shared" si="1035"/>
        <v>322.35176066236426</v>
      </c>
      <c r="AH875" s="64"/>
      <c r="AI875" s="64"/>
      <c r="AJ875" s="51">
        <v>6</v>
      </c>
      <c r="AK875" s="73" t="s">
        <v>42</v>
      </c>
      <c r="AL875" s="67">
        <v>4044</v>
      </c>
      <c r="AM875" s="72" t="s">
        <v>1061</v>
      </c>
      <c r="AN875" s="72" t="s">
        <v>1062</v>
      </c>
      <c r="AO875" s="65">
        <f t="shared" si="1038"/>
        <v>84091.763651051529</v>
      </c>
      <c r="AP875" s="65">
        <f t="shared" si="1038"/>
        <v>28030.587883683846</v>
      </c>
      <c r="AQ875" s="65">
        <f t="shared" si="1039"/>
        <v>0</v>
      </c>
      <c r="AR875" s="65">
        <f t="shared" si="1039"/>
        <v>2391.2550532344067</v>
      </c>
      <c r="AS875" s="65">
        <f t="shared" si="1039"/>
        <v>0</v>
      </c>
      <c r="AT875" s="65">
        <f t="shared" si="1039"/>
        <v>14015.293941841926</v>
      </c>
      <c r="AU875" s="65">
        <f t="shared" si="1039"/>
        <v>2803.0587883683847</v>
      </c>
      <c r="AV875" s="65">
        <f t="shared" si="1039"/>
        <v>20322.731376750322</v>
      </c>
      <c r="AW875" s="65">
        <f t="shared" si="1039"/>
        <v>10486.689043435825</v>
      </c>
      <c r="AX875" s="65">
        <f t="shared" si="1039"/>
        <v>6649.7711118806756</v>
      </c>
      <c r="AY875" s="65">
        <f t="shared" si="1039"/>
        <v>0</v>
      </c>
      <c r="AZ875" s="65">
        <f t="shared" si="1039"/>
        <v>3868.2211279483708</v>
      </c>
      <c r="BB875" s="64"/>
      <c r="BC875" s="66"/>
      <c r="BD875" s="66"/>
      <c r="BE875" s="66"/>
    </row>
    <row r="876" spans="1:177" ht="21" customHeight="1" x14ac:dyDescent="0.2">
      <c r="B876" s="67">
        <v>7</v>
      </c>
      <c r="C876" s="73" t="s">
        <v>42</v>
      </c>
      <c r="D876" s="67">
        <v>18012</v>
      </c>
      <c r="E876" s="72" t="s">
        <v>1063</v>
      </c>
      <c r="F876" s="72" t="s">
        <v>1064</v>
      </c>
      <c r="G876" s="55">
        <v>37727</v>
      </c>
      <c r="H876" s="56" t="str">
        <f t="shared" si="1022"/>
        <v>21 AÑOS</v>
      </c>
      <c r="I876" s="57">
        <v>4913.376968141848</v>
      </c>
      <c r="J876" s="58"/>
      <c r="K876" s="58"/>
      <c r="L876" s="59"/>
      <c r="M876" s="60">
        <v>4.0000000000000002E-4</v>
      </c>
      <c r="N876" s="61">
        <f t="shared" si="1023"/>
        <v>196.53507872567391</v>
      </c>
      <c r="O876" s="58">
        <f t="shared" si="1024"/>
        <v>5109.9120468675219</v>
      </c>
      <c r="P876" s="61">
        <f t="shared" si="1025"/>
        <v>10219.824093735044</v>
      </c>
      <c r="Q876" s="61">
        <f t="shared" si="1026"/>
        <v>7664.8680703012833</v>
      </c>
      <c r="R876" s="61">
        <f t="shared" si="1027"/>
        <v>2554.9560234337609</v>
      </c>
      <c r="S876" s="61">
        <f t="shared" si="1028"/>
        <v>340.66080312450146</v>
      </c>
      <c r="T876" s="58">
        <f t="shared" si="1029"/>
        <v>391.04453590661518</v>
      </c>
      <c r="U876" s="61">
        <f t="shared" si="1030"/>
        <v>3832.4340351506416</v>
      </c>
      <c r="V876" s="58">
        <f t="shared" si="1031"/>
        <v>1277.4780117168805</v>
      </c>
      <c r="W876" s="62">
        <v>0</v>
      </c>
      <c r="X876" s="63">
        <f t="shared" si="1032"/>
        <v>0</v>
      </c>
      <c r="Y876" s="61">
        <v>520.97691004877959</v>
      </c>
      <c r="Z876" s="61">
        <v>0</v>
      </c>
      <c r="AA876" s="61">
        <f t="shared" si="1033"/>
        <v>1277.4780117168805</v>
      </c>
      <c r="AB876" s="61">
        <f t="shared" si="1034"/>
        <v>255.49560234337608</v>
      </c>
      <c r="AC876" s="61">
        <v>1800.9612759438785</v>
      </c>
      <c r="AD876" s="61">
        <v>970.3965680790609</v>
      </c>
      <c r="AE876" s="61">
        <v>606.1190306552536</v>
      </c>
      <c r="AF876" s="61">
        <v>0</v>
      </c>
      <c r="AG876" s="61">
        <f t="shared" si="1035"/>
        <v>352.58393123385906</v>
      </c>
      <c r="AH876" s="64"/>
      <c r="AI876" s="64"/>
      <c r="AJ876" s="67">
        <v>7</v>
      </c>
      <c r="AK876" s="73" t="s">
        <v>42</v>
      </c>
      <c r="AL876" s="67">
        <v>18012</v>
      </c>
      <c r="AM876" s="72" t="s">
        <v>1063</v>
      </c>
      <c r="AN876" s="72" t="s">
        <v>1064</v>
      </c>
      <c r="AO876" s="65">
        <f t="shared" si="1038"/>
        <v>91978.4168436154</v>
      </c>
      <c r="AP876" s="65">
        <f t="shared" si="1038"/>
        <v>30659.472281205133</v>
      </c>
      <c r="AQ876" s="65">
        <f t="shared" si="1039"/>
        <v>0</v>
      </c>
      <c r="AR876" s="65">
        <f t="shared" si="1039"/>
        <v>6251.7229205853546</v>
      </c>
      <c r="AS876" s="65">
        <f t="shared" si="1039"/>
        <v>0</v>
      </c>
      <c r="AT876" s="65">
        <f t="shared" si="1039"/>
        <v>15329.736140602567</v>
      </c>
      <c r="AU876" s="65">
        <f t="shared" si="1039"/>
        <v>3065.947228120513</v>
      </c>
      <c r="AV876" s="65">
        <f t="shared" si="1039"/>
        <v>21611.535311326541</v>
      </c>
      <c r="AW876" s="65">
        <f t="shared" si="1039"/>
        <v>11644.758816948732</v>
      </c>
      <c r="AX876" s="65">
        <f t="shared" si="1039"/>
        <v>7273.4283678630436</v>
      </c>
      <c r="AY876" s="65">
        <f t="shared" si="1039"/>
        <v>0</v>
      </c>
      <c r="AZ876" s="65">
        <f t="shared" si="1039"/>
        <v>4231.0071748063092</v>
      </c>
      <c r="BB876" s="64"/>
      <c r="BC876" s="66"/>
      <c r="BD876" s="66"/>
      <c r="BE876" s="66"/>
    </row>
    <row r="877" spans="1:177" s="364" customFormat="1" ht="21" customHeight="1" x14ac:dyDescent="0.2">
      <c r="B877" s="365">
        <v>8</v>
      </c>
      <c r="C877" s="372" t="s">
        <v>42</v>
      </c>
      <c r="D877" s="365"/>
      <c r="E877" s="375" t="s">
        <v>55</v>
      </c>
      <c r="F877" s="371" t="s">
        <v>1064</v>
      </c>
      <c r="G877" s="55">
        <v>42401</v>
      </c>
      <c r="H877" s="55" t="str">
        <f t="shared" si="1022"/>
        <v>8 AÑOS</v>
      </c>
      <c r="I877" s="57">
        <v>4913.376968141848</v>
      </c>
      <c r="J877" s="57"/>
      <c r="K877" s="57"/>
      <c r="L877" s="74"/>
      <c r="M877" s="171">
        <v>4.0000000000000002E-4</v>
      </c>
      <c r="N877" s="81">
        <f t="shared" si="1023"/>
        <v>196.53507872567391</v>
      </c>
      <c r="O877" s="57">
        <f t="shared" si="1024"/>
        <v>5109.9120468675219</v>
      </c>
      <c r="P877" s="81">
        <f t="shared" si="1025"/>
        <v>10219.824093735044</v>
      </c>
      <c r="Q877" s="81">
        <f t="shared" si="1026"/>
        <v>7664.8680703012833</v>
      </c>
      <c r="R877" s="81">
        <f t="shared" si="1027"/>
        <v>2554.9560234337609</v>
      </c>
      <c r="S877" s="81">
        <f t="shared" si="1028"/>
        <v>340.66080312450146</v>
      </c>
      <c r="T877" s="57">
        <f t="shared" si="1029"/>
        <v>391.04453590661518</v>
      </c>
      <c r="U877" s="81">
        <f t="shared" si="1030"/>
        <v>3832.4340351506416</v>
      </c>
      <c r="V877" s="57">
        <f t="shared" si="1031"/>
        <v>1277.4780117168805</v>
      </c>
      <c r="W877" s="101">
        <v>0</v>
      </c>
      <c r="X877" s="158">
        <f t="shared" si="1032"/>
        <v>0</v>
      </c>
      <c r="Y877" s="81">
        <v>520.97691004877959</v>
      </c>
      <c r="Z877" s="81">
        <v>0</v>
      </c>
      <c r="AA877" s="81">
        <f t="shared" si="1033"/>
        <v>1277.4780117168805</v>
      </c>
      <c r="AB877" s="81">
        <f t="shared" si="1034"/>
        <v>255.49560234337608</v>
      </c>
      <c r="AC877" s="81">
        <v>1800.9612759438785</v>
      </c>
      <c r="AD877" s="81">
        <v>970.3965680790609</v>
      </c>
      <c r="AE877" s="81">
        <v>606.1190306552536</v>
      </c>
      <c r="AF877" s="81">
        <v>0</v>
      </c>
      <c r="AG877" s="81">
        <f t="shared" si="1035"/>
        <v>352.58393123385906</v>
      </c>
      <c r="AH877" s="64"/>
      <c r="AI877" s="64"/>
      <c r="AJ877" s="365">
        <v>8</v>
      </c>
      <c r="AK877" s="372" t="s">
        <v>42</v>
      </c>
      <c r="AL877" s="365"/>
      <c r="AM877" s="375" t="s">
        <v>55</v>
      </c>
      <c r="AN877" s="371" t="s">
        <v>1064</v>
      </c>
      <c r="AO877" s="395">
        <f>Q877*9.5</f>
        <v>72816.246667862186</v>
      </c>
      <c r="AP877" s="395">
        <f>R877*9.5</f>
        <v>24272.082222620727</v>
      </c>
      <c r="AQ877" s="395">
        <f t="shared" ref="AQ877:AZ877" si="1040">X877*9.5</f>
        <v>0</v>
      </c>
      <c r="AR877" s="395">
        <f t="shared" si="1040"/>
        <v>4949.2806454634065</v>
      </c>
      <c r="AS877" s="395">
        <f t="shared" si="1040"/>
        <v>0</v>
      </c>
      <c r="AT877" s="395">
        <f t="shared" si="1040"/>
        <v>12136.041111310364</v>
      </c>
      <c r="AU877" s="395">
        <f t="shared" si="1040"/>
        <v>2427.2082222620729</v>
      </c>
      <c r="AV877" s="395">
        <f t="shared" si="1040"/>
        <v>17109.132121466846</v>
      </c>
      <c r="AW877" s="395">
        <f t="shared" si="1040"/>
        <v>9218.7673967510782</v>
      </c>
      <c r="AX877" s="395">
        <f t="shared" si="1040"/>
        <v>5758.1307912249094</v>
      </c>
      <c r="AY877" s="395">
        <f t="shared" si="1040"/>
        <v>0</v>
      </c>
      <c r="AZ877" s="395">
        <f t="shared" si="1040"/>
        <v>3349.5473467216611</v>
      </c>
      <c r="BB877" s="64"/>
      <c r="BC877" s="66"/>
      <c r="BD877" s="66"/>
      <c r="BE877" s="66"/>
    </row>
    <row r="878" spans="1:177" ht="21" customHeight="1" x14ac:dyDescent="0.2">
      <c r="B878" s="67">
        <v>9</v>
      </c>
      <c r="C878" s="73" t="s">
        <v>42</v>
      </c>
      <c r="D878" s="67">
        <v>19048</v>
      </c>
      <c r="E878" s="73" t="s">
        <v>1065</v>
      </c>
      <c r="F878" s="72" t="s">
        <v>1064</v>
      </c>
      <c r="G878" s="55">
        <v>44090</v>
      </c>
      <c r="H878" s="55" t="str">
        <f t="shared" si="1022"/>
        <v>4 AÑOS</v>
      </c>
      <c r="I878" s="57">
        <v>4913.376968141848</v>
      </c>
      <c r="J878" s="57"/>
      <c r="K878" s="57"/>
      <c r="L878" s="74"/>
      <c r="M878" s="171">
        <v>4.0000000000000002E-4</v>
      </c>
      <c r="N878" s="81">
        <f t="shared" si="1023"/>
        <v>196.53507872567391</v>
      </c>
      <c r="O878" s="57">
        <f t="shared" si="1024"/>
        <v>5109.9120468675219</v>
      </c>
      <c r="P878" s="81">
        <f t="shared" si="1025"/>
        <v>10219.824093735044</v>
      </c>
      <c r="Q878" s="81">
        <f t="shared" si="1026"/>
        <v>7664.8680703012833</v>
      </c>
      <c r="R878" s="81">
        <f t="shared" si="1027"/>
        <v>2554.9560234337609</v>
      </c>
      <c r="S878" s="81">
        <f t="shared" si="1028"/>
        <v>340.66080312450146</v>
      </c>
      <c r="T878" s="57">
        <f t="shared" si="1029"/>
        <v>391.04453590661518</v>
      </c>
      <c r="U878" s="81">
        <f t="shared" si="1030"/>
        <v>3832.4340351506416</v>
      </c>
      <c r="V878" s="57">
        <f t="shared" si="1031"/>
        <v>1277.4780117168805</v>
      </c>
      <c r="W878" s="101">
        <v>0</v>
      </c>
      <c r="X878" s="158">
        <f t="shared" si="1032"/>
        <v>0</v>
      </c>
      <c r="Y878" s="81">
        <v>520.97691004877959</v>
      </c>
      <c r="Z878" s="81">
        <v>0</v>
      </c>
      <c r="AA878" s="81">
        <f t="shared" si="1033"/>
        <v>1277.4780117168805</v>
      </c>
      <c r="AB878" s="81">
        <f t="shared" si="1034"/>
        <v>255.49560234337608</v>
      </c>
      <c r="AC878" s="81">
        <v>1800.9612759438785</v>
      </c>
      <c r="AD878" s="81">
        <v>970.3965680790609</v>
      </c>
      <c r="AE878" s="81">
        <v>606.1190306552536</v>
      </c>
      <c r="AF878" s="81">
        <v>0</v>
      </c>
      <c r="AG878" s="81">
        <f t="shared" si="1035"/>
        <v>352.58393123385906</v>
      </c>
      <c r="AH878" s="64"/>
      <c r="AI878" s="64"/>
      <c r="AJ878" s="67">
        <v>9</v>
      </c>
      <c r="AK878" s="73" t="s">
        <v>42</v>
      </c>
      <c r="AL878" s="67">
        <v>19048</v>
      </c>
      <c r="AM878" s="73" t="s">
        <v>1065</v>
      </c>
      <c r="AN878" s="72" t="s">
        <v>1064</v>
      </c>
      <c r="AO878" s="65">
        <f t="shared" ref="AO878:AP880" si="1041">Q878*12</f>
        <v>91978.4168436154</v>
      </c>
      <c r="AP878" s="65">
        <f t="shared" si="1041"/>
        <v>30659.472281205133</v>
      </c>
      <c r="AQ878" s="65">
        <f t="shared" ref="AQ878:AZ880" si="1042">X878*12</f>
        <v>0</v>
      </c>
      <c r="AR878" s="65">
        <f t="shared" si="1042"/>
        <v>6251.7229205853546</v>
      </c>
      <c r="AS878" s="65">
        <f t="shared" si="1042"/>
        <v>0</v>
      </c>
      <c r="AT878" s="65">
        <f t="shared" si="1042"/>
        <v>15329.736140602567</v>
      </c>
      <c r="AU878" s="65">
        <f t="shared" si="1042"/>
        <v>3065.947228120513</v>
      </c>
      <c r="AV878" s="65">
        <f t="shared" si="1042"/>
        <v>21611.535311326541</v>
      </c>
      <c r="AW878" s="65">
        <f t="shared" si="1042"/>
        <v>11644.758816948732</v>
      </c>
      <c r="AX878" s="65">
        <f t="shared" si="1042"/>
        <v>7273.4283678630436</v>
      </c>
      <c r="AY878" s="65">
        <f t="shared" si="1042"/>
        <v>0</v>
      </c>
      <c r="AZ878" s="65">
        <f t="shared" si="1042"/>
        <v>4231.0071748063092</v>
      </c>
      <c r="BB878" s="64"/>
      <c r="BC878" s="66"/>
      <c r="BD878" s="66"/>
      <c r="BE878" s="66"/>
    </row>
    <row r="879" spans="1:177" ht="21" customHeight="1" x14ac:dyDescent="0.2">
      <c r="B879" s="67">
        <v>10</v>
      </c>
      <c r="C879" s="73" t="s">
        <v>42</v>
      </c>
      <c r="D879" s="67">
        <v>19046</v>
      </c>
      <c r="E879" s="72" t="s">
        <v>1066</v>
      </c>
      <c r="F879" s="72" t="s">
        <v>1064</v>
      </c>
      <c r="G879" s="169">
        <v>43420</v>
      </c>
      <c r="H879" s="55" t="str">
        <f t="shared" si="1022"/>
        <v>6 AÑOS</v>
      </c>
      <c r="I879" s="57">
        <v>4913.376968141848</v>
      </c>
      <c r="J879" s="57"/>
      <c r="K879" s="57"/>
      <c r="L879" s="74"/>
      <c r="M879" s="171">
        <v>4.0000000000000002E-4</v>
      </c>
      <c r="N879" s="81">
        <f t="shared" si="1023"/>
        <v>196.53507872567391</v>
      </c>
      <c r="O879" s="57">
        <f t="shared" si="1024"/>
        <v>5109.9120468675219</v>
      </c>
      <c r="P879" s="81">
        <f t="shared" si="1025"/>
        <v>10219.824093735044</v>
      </c>
      <c r="Q879" s="81">
        <f t="shared" si="1026"/>
        <v>7664.8680703012833</v>
      </c>
      <c r="R879" s="81">
        <f t="shared" si="1027"/>
        <v>2554.9560234337609</v>
      </c>
      <c r="S879" s="81">
        <f t="shared" si="1028"/>
        <v>340.66080312450146</v>
      </c>
      <c r="T879" s="57">
        <f t="shared" si="1029"/>
        <v>391.04453590661518</v>
      </c>
      <c r="U879" s="81">
        <f t="shared" si="1030"/>
        <v>3832.4340351506416</v>
      </c>
      <c r="V879" s="57">
        <f t="shared" si="1031"/>
        <v>1277.4780117168805</v>
      </c>
      <c r="W879" s="101">
        <v>0</v>
      </c>
      <c r="X879" s="158">
        <f t="shared" si="1032"/>
        <v>0</v>
      </c>
      <c r="Y879" s="81">
        <v>520.97691004877959</v>
      </c>
      <c r="Z879" s="81">
        <v>0</v>
      </c>
      <c r="AA879" s="81">
        <f t="shared" si="1033"/>
        <v>1277.4780117168805</v>
      </c>
      <c r="AB879" s="81">
        <f t="shared" si="1034"/>
        <v>255.49560234337608</v>
      </c>
      <c r="AC879" s="81">
        <v>1800.9612759438785</v>
      </c>
      <c r="AD879" s="81">
        <v>970.3965680790609</v>
      </c>
      <c r="AE879" s="81">
        <v>606.1190306552536</v>
      </c>
      <c r="AF879" s="81">
        <v>0</v>
      </c>
      <c r="AG879" s="81">
        <f t="shared" si="1035"/>
        <v>352.58393123385906</v>
      </c>
      <c r="AH879" s="64"/>
      <c r="AI879" s="64"/>
      <c r="AJ879" s="67">
        <v>10</v>
      </c>
      <c r="AK879" s="73" t="s">
        <v>42</v>
      </c>
      <c r="AL879" s="67">
        <v>19046</v>
      </c>
      <c r="AM879" s="72" t="s">
        <v>1066</v>
      </c>
      <c r="AN879" s="72" t="s">
        <v>1064</v>
      </c>
      <c r="AO879" s="65">
        <f t="shared" si="1041"/>
        <v>91978.4168436154</v>
      </c>
      <c r="AP879" s="65">
        <f t="shared" si="1041"/>
        <v>30659.472281205133</v>
      </c>
      <c r="AQ879" s="65">
        <f t="shared" si="1042"/>
        <v>0</v>
      </c>
      <c r="AR879" s="65">
        <f t="shared" si="1042"/>
        <v>6251.7229205853546</v>
      </c>
      <c r="AS879" s="65">
        <f t="shared" si="1042"/>
        <v>0</v>
      </c>
      <c r="AT879" s="65">
        <f t="shared" si="1042"/>
        <v>15329.736140602567</v>
      </c>
      <c r="AU879" s="65">
        <f t="shared" si="1042"/>
        <v>3065.947228120513</v>
      </c>
      <c r="AV879" s="65">
        <f t="shared" si="1042"/>
        <v>21611.535311326541</v>
      </c>
      <c r="AW879" s="65">
        <f t="shared" si="1042"/>
        <v>11644.758816948732</v>
      </c>
      <c r="AX879" s="65">
        <f t="shared" si="1042"/>
        <v>7273.4283678630436</v>
      </c>
      <c r="AY879" s="65">
        <f t="shared" si="1042"/>
        <v>0</v>
      </c>
      <c r="AZ879" s="65">
        <f t="shared" si="1042"/>
        <v>4231.0071748063092</v>
      </c>
      <c r="BB879" s="64"/>
      <c r="BC879" s="66"/>
      <c r="BD879" s="66"/>
      <c r="BE879" s="66"/>
    </row>
    <row r="880" spans="1:177" ht="21" customHeight="1" x14ac:dyDescent="0.2">
      <c r="B880" s="67">
        <v>11</v>
      </c>
      <c r="C880" s="73" t="s">
        <v>42</v>
      </c>
      <c r="D880" s="67">
        <v>19044</v>
      </c>
      <c r="E880" s="72" t="s">
        <v>1067</v>
      </c>
      <c r="F880" s="72" t="s">
        <v>1064</v>
      </c>
      <c r="G880" s="55">
        <v>43287</v>
      </c>
      <c r="H880" s="55" t="str">
        <f t="shared" si="1022"/>
        <v>6 AÑOS</v>
      </c>
      <c r="I880" s="57">
        <v>4913.376968141848</v>
      </c>
      <c r="J880" s="57"/>
      <c r="K880" s="57"/>
      <c r="L880" s="74"/>
      <c r="M880" s="171">
        <v>4.0000000000000002E-4</v>
      </c>
      <c r="N880" s="81">
        <f t="shared" si="1023"/>
        <v>196.53507872567391</v>
      </c>
      <c r="O880" s="57">
        <f t="shared" si="1024"/>
        <v>5109.9120468675219</v>
      </c>
      <c r="P880" s="81">
        <f t="shared" si="1025"/>
        <v>10219.824093735044</v>
      </c>
      <c r="Q880" s="81">
        <f t="shared" si="1026"/>
        <v>7664.8680703012833</v>
      </c>
      <c r="R880" s="81">
        <f t="shared" si="1027"/>
        <v>2554.9560234337609</v>
      </c>
      <c r="S880" s="81">
        <f t="shared" si="1028"/>
        <v>340.66080312450146</v>
      </c>
      <c r="T880" s="57">
        <f t="shared" si="1029"/>
        <v>391.04453590661518</v>
      </c>
      <c r="U880" s="81">
        <f t="shared" si="1030"/>
        <v>3832.4340351506416</v>
      </c>
      <c r="V880" s="57">
        <f t="shared" si="1031"/>
        <v>1277.4780117168805</v>
      </c>
      <c r="W880" s="101">
        <v>0</v>
      </c>
      <c r="X880" s="158">
        <f t="shared" si="1032"/>
        <v>0</v>
      </c>
      <c r="Y880" s="81">
        <v>520.97691004877959</v>
      </c>
      <c r="Z880" s="81">
        <v>0</v>
      </c>
      <c r="AA880" s="81">
        <f t="shared" si="1033"/>
        <v>1277.4780117168805</v>
      </c>
      <c r="AB880" s="81">
        <f t="shared" si="1034"/>
        <v>255.49560234337608</v>
      </c>
      <c r="AC880" s="81">
        <v>1800.9612759438785</v>
      </c>
      <c r="AD880" s="81">
        <v>970.3965680790609</v>
      </c>
      <c r="AE880" s="81">
        <v>606.1190306552536</v>
      </c>
      <c r="AF880" s="81">
        <v>0</v>
      </c>
      <c r="AG880" s="81">
        <f t="shared" si="1035"/>
        <v>352.58393123385906</v>
      </c>
      <c r="AH880" s="64"/>
      <c r="AI880" s="64"/>
      <c r="AJ880" s="67">
        <v>11</v>
      </c>
      <c r="AK880" s="73" t="s">
        <v>42</v>
      </c>
      <c r="AL880" s="67">
        <v>19044</v>
      </c>
      <c r="AM880" s="72" t="s">
        <v>1067</v>
      </c>
      <c r="AN880" s="72" t="s">
        <v>1064</v>
      </c>
      <c r="AO880" s="65">
        <f t="shared" si="1041"/>
        <v>91978.4168436154</v>
      </c>
      <c r="AP880" s="65">
        <f t="shared" si="1041"/>
        <v>30659.472281205133</v>
      </c>
      <c r="AQ880" s="65">
        <f t="shared" si="1042"/>
        <v>0</v>
      </c>
      <c r="AR880" s="65">
        <f t="shared" si="1042"/>
        <v>6251.7229205853546</v>
      </c>
      <c r="AS880" s="65">
        <f t="shared" si="1042"/>
        <v>0</v>
      </c>
      <c r="AT880" s="65">
        <f t="shared" si="1042"/>
        <v>15329.736140602567</v>
      </c>
      <c r="AU880" s="65">
        <f t="shared" si="1042"/>
        <v>3065.947228120513</v>
      </c>
      <c r="AV880" s="65">
        <f t="shared" si="1042"/>
        <v>21611.535311326541</v>
      </c>
      <c r="AW880" s="65">
        <f t="shared" si="1042"/>
        <v>11644.758816948732</v>
      </c>
      <c r="AX880" s="65">
        <f t="shared" si="1042"/>
        <v>7273.4283678630436</v>
      </c>
      <c r="AY880" s="65">
        <f t="shared" si="1042"/>
        <v>0</v>
      </c>
      <c r="AZ880" s="65">
        <f t="shared" si="1042"/>
        <v>4231.0071748063092</v>
      </c>
      <c r="BB880" s="64"/>
      <c r="BC880" s="66"/>
      <c r="BD880" s="66"/>
      <c r="BE880" s="66"/>
    </row>
    <row r="881" spans="1:177" ht="21" customHeight="1" x14ac:dyDescent="0.2">
      <c r="B881" s="67">
        <v>12</v>
      </c>
      <c r="C881" s="73" t="s">
        <v>42</v>
      </c>
      <c r="D881" s="67">
        <v>19050</v>
      </c>
      <c r="E881" s="73" t="s">
        <v>1068</v>
      </c>
      <c r="F881" s="72" t="s">
        <v>1064</v>
      </c>
      <c r="G881" s="55">
        <v>45352</v>
      </c>
      <c r="H881" s="55" t="str">
        <f t="shared" si="1022"/>
        <v>0 AÑOS</v>
      </c>
      <c r="I881" s="57">
        <v>4913.376968141848</v>
      </c>
      <c r="J881" s="57"/>
      <c r="K881" s="57"/>
      <c r="L881" s="74"/>
      <c r="M881" s="171">
        <v>4.0000000000000002E-4</v>
      </c>
      <c r="N881" s="81">
        <f t="shared" si="1023"/>
        <v>196.53507872567391</v>
      </c>
      <c r="O881" s="57">
        <f t="shared" si="1024"/>
        <v>5109.9120468675219</v>
      </c>
      <c r="P881" s="81">
        <f t="shared" si="1025"/>
        <v>10219.824093735044</v>
      </c>
      <c r="Q881" s="81">
        <f t="shared" si="1026"/>
        <v>7664.8680703012833</v>
      </c>
      <c r="R881" s="81">
        <f t="shared" si="1027"/>
        <v>2554.9560234337609</v>
      </c>
      <c r="S881" s="81">
        <f t="shared" si="1028"/>
        <v>340.66080312450146</v>
      </c>
      <c r="T881" s="57">
        <f t="shared" si="1029"/>
        <v>391.04453590661518</v>
      </c>
      <c r="U881" s="81">
        <f t="shared" si="1030"/>
        <v>3832.4340351506416</v>
      </c>
      <c r="V881" s="57">
        <f t="shared" si="1031"/>
        <v>1277.4780117168805</v>
      </c>
      <c r="W881" s="101">
        <v>0</v>
      </c>
      <c r="X881" s="158">
        <f t="shared" si="1032"/>
        <v>0</v>
      </c>
      <c r="Y881" s="81">
        <v>520.97691004877959</v>
      </c>
      <c r="Z881" s="81">
        <v>0</v>
      </c>
      <c r="AA881" s="81">
        <f t="shared" si="1033"/>
        <v>1277.4780117168805</v>
      </c>
      <c r="AB881" s="81">
        <f t="shared" si="1034"/>
        <v>255.49560234337608</v>
      </c>
      <c r="AC881" s="81">
        <v>1800.9612759438785</v>
      </c>
      <c r="AD881" s="81">
        <v>970.3965680790609</v>
      </c>
      <c r="AE881" s="81">
        <v>606.1190306552536</v>
      </c>
      <c r="AF881" s="81">
        <v>0</v>
      </c>
      <c r="AG881" s="81">
        <f t="shared" si="1035"/>
        <v>352.58393123385906</v>
      </c>
      <c r="AH881" s="64"/>
      <c r="AI881" s="64"/>
      <c r="AJ881" s="67">
        <v>12</v>
      </c>
      <c r="AK881" s="73" t="s">
        <v>42</v>
      </c>
      <c r="AL881" s="67">
        <v>19050</v>
      </c>
      <c r="AM881" s="73" t="s">
        <v>1068</v>
      </c>
      <c r="AN881" s="72" t="s">
        <v>1064</v>
      </c>
      <c r="AO881" s="138">
        <f>Q881*10</f>
        <v>76648.680703012826</v>
      </c>
      <c r="AP881" s="65">
        <f>R881*10</f>
        <v>25549.560234337609</v>
      </c>
      <c r="AQ881" s="65">
        <f t="shared" ref="AQ881:AZ881" si="1043">X881*10</f>
        <v>0</v>
      </c>
      <c r="AR881" s="65">
        <f t="shared" si="1043"/>
        <v>5209.7691004877961</v>
      </c>
      <c r="AS881" s="65">
        <f t="shared" si="1043"/>
        <v>0</v>
      </c>
      <c r="AT881" s="65">
        <f t="shared" si="1043"/>
        <v>12774.780117168804</v>
      </c>
      <c r="AU881" s="65">
        <f t="shared" si="1043"/>
        <v>2554.9560234337609</v>
      </c>
      <c r="AV881" s="65">
        <f t="shared" si="1043"/>
        <v>18009.612759438784</v>
      </c>
      <c r="AW881" s="65">
        <f t="shared" si="1043"/>
        <v>9703.9656807906085</v>
      </c>
      <c r="AX881" s="65">
        <f t="shared" si="1043"/>
        <v>6061.1903065525357</v>
      </c>
      <c r="AY881" s="65">
        <f t="shared" si="1043"/>
        <v>0</v>
      </c>
      <c r="AZ881" s="65">
        <f t="shared" si="1043"/>
        <v>3525.8393123385904</v>
      </c>
      <c r="BB881" s="64"/>
      <c r="BC881" s="66"/>
      <c r="BD881" s="66"/>
      <c r="BE881" s="66"/>
    </row>
    <row r="882" spans="1:177" ht="21" customHeight="1" x14ac:dyDescent="0.2">
      <c r="B882" s="67">
        <v>13</v>
      </c>
      <c r="C882" s="73" t="s">
        <v>42</v>
      </c>
      <c r="D882" s="67">
        <v>16428</v>
      </c>
      <c r="E882" s="73" t="s">
        <v>1069</v>
      </c>
      <c r="F882" s="72" t="s">
        <v>1064</v>
      </c>
      <c r="G882" s="55">
        <v>43998</v>
      </c>
      <c r="H882" s="55" t="str">
        <f t="shared" si="1022"/>
        <v>4 AÑOS</v>
      </c>
      <c r="I882" s="57">
        <v>4913.376968141848</v>
      </c>
      <c r="J882" s="57"/>
      <c r="K882" s="57"/>
      <c r="L882" s="74"/>
      <c r="M882" s="171">
        <v>4.0000000000000002E-4</v>
      </c>
      <c r="N882" s="81">
        <f t="shared" si="1023"/>
        <v>196.53507872567391</v>
      </c>
      <c r="O882" s="57">
        <f t="shared" si="1024"/>
        <v>5109.9120468675219</v>
      </c>
      <c r="P882" s="81">
        <f t="shared" si="1025"/>
        <v>10219.824093735044</v>
      </c>
      <c r="Q882" s="81">
        <f t="shared" si="1026"/>
        <v>7664.8680703012833</v>
      </c>
      <c r="R882" s="81">
        <f t="shared" si="1027"/>
        <v>2554.9560234337609</v>
      </c>
      <c r="S882" s="81">
        <f t="shared" si="1028"/>
        <v>340.66080312450146</v>
      </c>
      <c r="T882" s="57">
        <f t="shared" si="1029"/>
        <v>391.04453590661518</v>
      </c>
      <c r="U882" s="81">
        <f t="shared" si="1030"/>
        <v>3832.4340351506416</v>
      </c>
      <c r="V882" s="57">
        <f t="shared" si="1031"/>
        <v>1277.4780117168805</v>
      </c>
      <c r="W882" s="101">
        <v>0</v>
      </c>
      <c r="X882" s="158">
        <f t="shared" si="1032"/>
        <v>0</v>
      </c>
      <c r="Y882" s="81">
        <v>520.97691004877959</v>
      </c>
      <c r="Z882" s="81">
        <v>0</v>
      </c>
      <c r="AA882" s="81">
        <f t="shared" si="1033"/>
        <v>1277.4780117168805</v>
      </c>
      <c r="AB882" s="81">
        <f t="shared" si="1034"/>
        <v>255.49560234337608</v>
      </c>
      <c r="AC882" s="81">
        <v>1800.9612759438785</v>
      </c>
      <c r="AD882" s="81">
        <v>970.3965680790609</v>
      </c>
      <c r="AE882" s="81">
        <v>606.1190306552536</v>
      </c>
      <c r="AF882" s="81">
        <v>0</v>
      </c>
      <c r="AG882" s="81">
        <f t="shared" si="1035"/>
        <v>352.58393123385906</v>
      </c>
      <c r="AH882" s="64"/>
      <c r="AI882" s="64"/>
      <c r="AJ882" s="67">
        <v>13</v>
      </c>
      <c r="AK882" s="73" t="s">
        <v>42</v>
      </c>
      <c r="AL882" s="67">
        <v>16428</v>
      </c>
      <c r="AM882" s="73" t="s">
        <v>1069</v>
      </c>
      <c r="AN882" s="72" t="s">
        <v>1064</v>
      </c>
      <c r="AO882" s="65">
        <f t="shared" ref="AO882:AP886" si="1044">Q882*12</f>
        <v>91978.4168436154</v>
      </c>
      <c r="AP882" s="65">
        <f t="shared" si="1044"/>
        <v>30659.472281205133</v>
      </c>
      <c r="AQ882" s="65">
        <f t="shared" ref="AQ882:AZ886" si="1045">X882*12</f>
        <v>0</v>
      </c>
      <c r="AR882" s="65">
        <f t="shared" si="1045"/>
        <v>6251.7229205853546</v>
      </c>
      <c r="AS882" s="65">
        <f t="shared" si="1045"/>
        <v>0</v>
      </c>
      <c r="AT882" s="65">
        <f t="shared" si="1045"/>
        <v>15329.736140602567</v>
      </c>
      <c r="AU882" s="65">
        <f t="shared" si="1045"/>
        <v>3065.947228120513</v>
      </c>
      <c r="AV882" s="65">
        <f t="shared" si="1045"/>
        <v>21611.535311326541</v>
      </c>
      <c r="AW882" s="65">
        <f t="shared" si="1045"/>
        <v>11644.758816948732</v>
      </c>
      <c r="AX882" s="65">
        <f t="shared" si="1045"/>
        <v>7273.4283678630436</v>
      </c>
      <c r="AY882" s="65">
        <f t="shared" si="1045"/>
        <v>0</v>
      </c>
      <c r="AZ882" s="65">
        <f t="shared" si="1045"/>
        <v>4231.0071748063092</v>
      </c>
      <c r="BB882" s="64"/>
      <c r="BC882" s="66"/>
      <c r="BD882" s="66"/>
      <c r="BE882" s="66"/>
    </row>
    <row r="883" spans="1:177" ht="21" customHeight="1" x14ac:dyDescent="0.2">
      <c r="B883" s="51">
        <v>14</v>
      </c>
      <c r="C883" s="73" t="s">
        <v>42</v>
      </c>
      <c r="D883" s="67">
        <v>16410</v>
      </c>
      <c r="E883" s="72" t="s">
        <v>1070</v>
      </c>
      <c r="F883" s="72" t="s">
        <v>1064</v>
      </c>
      <c r="G883" s="55">
        <v>42064</v>
      </c>
      <c r="H883" s="56" t="str">
        <f t="shared" si="1022"/>
        <v>9 AÑOS</v>
      </c>
      <c r="I883" s="57">
        <v>4913.376968141848</v>
      </c>
      <c r="J883" s="58"/>
      <c r="K883" s="58"/>
      <c r="L883" s="59"/>
      <c r="M883" s="60">
        <v>4.0000000000000002E-4</v>
      </c>
      <c r="N883" s="61">
        <f t="shared" si="1023"/>
        <v>196.53507872567391</v>
      </c>
      <c r="O883" s="58">
        <f t="shared" si="1024"/>
        <v>5109.9120468675219</v>
      </c>
      <c r="P883" s="61">
        <f t="shared" si="1025"/>
        <v>10219.824093735044</v>
      </c>
      <c r="Q883" s="61">
        <f t="shared" si="1026"/>
        <v>7664.8680703012833</v>
      </c>
      <c r="R883" s="61">
        <f t="shared" si="1027"/>
        <v>2554.9560234337609</v>
      </c>
      <c r="S883" s="61">
        <f t="shared" si="1028"/>
        <v>340.66080312450146</v>
      </c>
      <c r="T883" s="58">
        <f t="shared" si="1029"/>
        <v>391.04453590661518</v>
      </c>
      <c r="U883" s="61">
        <f t="shared" si="1030"/>
        <v>3832.4340351506416</v>
      </c>
      <c r="V883" s="58">
        <f t="shared" si="1031"/>
        <v>1277.4780117168805</v>
      </c>
      <c r="W883" s="62">
        <v>0</v>
      </c>
      <c r="X883" s="63">
        <f t="shared" si="1032"/>
        <v>0</v>
      </c>
      <c r="Y883" s="61">
        <v>520.97691004877959</v>
      </c>
      <c r="Z883" s="61">
        <v>0</v>
      </c>
      <c r="AA883" s="61">
        <f t="shared" si="1033"/>
        <v>1277.4780117168805</v>
      </c>
      <c r="AB883" s="61">
        <f t="shared" si="1034"/>
        <v>255.49560234337608</v>
      </c>
      <c r="AC883" s="61">
        <v>1800.9612759438785</v>
      </c>
      <c r="AD883" s="61">
        <v>970.3965680790609</v>
      </c>
      <c r="AE883" s="61">
        <v>606.1190306552536</v>
      </c>
      <c r="AF883" s="61">
        <v>0</v>
      </c>
      <c r="AG883" s="61">
        <f t="shared" si="1035"/>
        <v>352.58393123385906</v>
      </c>
      <c r="AH883" s="64"/>
      <c r="AI883" s="64"/>
      <c r="AJ883" s="51">
        <v>14</v>
      </c>
      <c r="AK883" s="73" t="s">
        <v>42</v>
      </c>
      <c r="AL883" s="67">
        <v>16410</v>
      </c>
      <c r="AM883" s="72" t="s">
        <v>1070</v>
      </c>
      <c r="AN883" s="72" t="s">
        <v>1064</v>
      </c>
      <c r="AO883" s="65">
        <f t="shared" si="1044"/>
        <v>91978.4168436154</v>
      </c>
      <c r="AP883" s="65">
        <f t="shared" si="1044"/>
        <v>30659.472281205133</v>
      </c>
      <c r="AQ883" s="65">
        <f t="shared" si="1045"/>
        <v>0</v>
      </c>
      <c r="AR883" s="65">
        <f t="shared" si="1045"/>
        <v>6251.7229205853546</v>
      </c>
      <c r="AS883" s="65">
        <f t="shared" si="1045"/>
        <v>0</v>
      </c>
      <c r="AT883" s="65">
        <f t="shared" si="1045"/>
        <v>15329.736140602567</v>
      </c>
      <c r="AU883" s="65">
        <f t="shared" si="1045"/>
        <v>3065.947228120513</v>
      </c>
      <c r="AV883" s="65">
        <f t="shared" si="1045"/>
        <v>21611.535311326541</v>
      </c>
      <c r="AW883" s="65">
        <f t="shared" si="1045"/>
        <v>11644.758816948732</v>
      </c>
      <c r="AX883" s="65">
        <f t="shared" si="1045"/>
        <v>7273.4283678630436</v>
      </c>
      <c r="AY883" s="65">
        <f t="shared" si="1045"/>
        <v>0</v>
      </c>
      <c r="AZ883" s="65">
        <f t="shared" si="1045"/>
        <v>4231.0071748063092</v>
      </c>
      <c r="BB883" s="64"/>
      <c r="BC883" s="66"/>
      <c r="BD883" s="66"/>
      <c r="BE883" s="66"/>
    </row>
    <row r="884" spans="1:177" ht="21" customHeight="1" x14ac:dyDescent="0.2">
      <c r="B884" s="51">
        <v>15</v>
      </c>
      <c r="C884" s="73" t="s">
        <v>42</v>
      </c>
      <c r="D884" s="67">
        <v>19036</v>
      </c>
      <c r="E884" s="72" t="s">
        <v>1071</v>
      </c>
      <c r="F884" s="72" t="s">
        <v>1064</v>
      </c>
      <c r="G884" s="55">
        <v>42423</v>
      </c>
      <c r="H884" s="56" t="str">
        <f t="shared" si="1022"/>
        <v>8 AÑOS</v>
      </c>
      <c r="I884" s="57">
        <v>4913.376968141848</v>
      </c>
      <c r="J884" s="58"/>
      <c r="K884" s="58"/>
      <c r="L884" s="59"/>
      <c r="M884" s="60">
        <v>4.0000000000000002E-4</v>
      </c>
      <c r="N884" s="61">
        <f t="shared" si="1023"/>
        <v>196.53507872567391</v>
      </c>
      <c r="O884" s="58">
        <f t="shared" si="1024"/>
        <v>5109.9120468675219</v>
      </c>
      <c r="P884" s="61">
        <f t="shared" si="1025"/>
        <v>10219.824093735044</v>
      </c>
      <c r="Q884" s="61">
        <f t="shared" si="1026"/>
        <v>7664.8680703012833</v>
      </c>
      <c r="R884" s="61">
        <f t="shared" si="1027"/>
        <v>2554.9560234337609</v>
      </c>
      <c r="S884" s="61">
        <f t="shared" si="1028"/>
        <v>340.66080312450146</v>
      </c>
      <c r="T884" s="58">
        <f t="shared" si="1029"/>
        <v>391.04453590661518</v>
      </c>
      <c r="U884" s="61">
        <f t="shared" si="1030"/>
        <v>3832.4340351506416</v>
      </c>
      <c r="V884" s="58">
        <f t="shared" si="1031"/>
        <v>1277.4780117168805</v>
      </c>
      <c r="W884" s="62">
        <v>0</v>
      </c>
      <c r="X884" s="63">
        <f t="shared" si="1032"/>
        <v>0</v>
      </c>
      <c r="Y884" s="61">
        <v>520.97691004877959</v>
      </c>
      <c r="Z884" s="61">
        <v>0</v>
      </c>
      <c r="AA884" s="61">
        <f t="shared" si="1033"/>
        <v>1277.4780117168805</v>
      </c>
      <c r="AB884" s="61">
        <f t="shared" si="1034"/>
        <v>255.49560234337608</v>
      </c>
      <c r="AC884" s="61">
        <v>1800.9612759438785</v>
      </c>
      <c r="AD884" s="61">
        <v>970.3965680790609</v>
      </c>
      <c r="AE884" s="61">
        <v>606.1190306552536</v>
      </c>
      <c r="AF884" s="61">
        <v>0</v>
      </c>
      <c r="AG884" s="61">
        <f t="shared" si="1035"/>
        <v>352.58393123385906</v>
      </c>
      <c r="AH884" s="64"/>
      <c r="AI884" s="64"/>
      <c r="AJ884" s="51">
        <v>15</v>
      </c>
      <c r="AK884" s="73" t="s">
        <v>42</v>
      </c>
      <c r="AL884" s="67">
        <v>19036</v>
      </c>
      <c r="AM884" s="72" t="s">
        <v>1071</v>
      </c>
      <c r="AN884" s="72" t="s">
        <v>1064</v>
      </c>
      <c r="AO884" s="65">
        <f t="shared" si="1044"/>
        <v>91978.4168436154</v>
      </c>
      <c r="AP884" s="65">
        <f t="shared" si="1044"/>
        <v>30659.472281205133</v>
      </c>
      <c r="AQ884" s="65">
        <f t="shared" si="1045"/>
        <v>0</v>
      </c>
      <c r="AR884" s="65">
        <f t="shared" si="1045"/>
        <v>6251.7229205853546</v>
      </c>
      <c r="AS884" s="65">
        <f t="shared" si="1045"/>
        <v>0</v>
      </c>
      <c r="AT884" s="65">
        <f t="shared" si="1045"/>
        <v>15329.736140602567</v>
      </c>
      <c r="AU884" s="65">
        <f t="shared" si="1045"/>
        <v>3065.947228120513</v>
      </c>
      <c r="AV884" s="65">
        <f t="shared" si="1045"/>
        <v>21611.535311326541</v>
      </c>
      <c r="AW884" s="65">
        <f t="shared" si="1045"/>
        <v>11644.758816948732</v>
      </c>
      <c r="AX884" s="65">
        <f t="shared" si="1045"/>
        <v>7273.4283678630436</v>
      </c>
      <c r="AY884" s="65">
        <f t="shared" si="1045"/>
        <v>0</v>
      </c>
      <c r="AZ884" s="65">
        <f t="shared" si="1045"/>
        <v>4231.0071748063092</v>
      </c>
      <c r="BB884" s="64"/>
      <c r="BC884" s="66"/>
      <c r="BD884" s="66"/>
      <c r="BE884" s="66"/>
    </row>
    <row r="885" spans="1:177" ht="21" customHeight="1" x14ac:dyDescent="0.2">
      <c r="B885" s="67">
        <v>16</v>
      </c>
      <c r="C885" s="73" t="s">
        <v>42</v>
      </c>
      <c r="D885" s="67">
        <v>19037</v>
      </c>
      <c r="E885" s="72" t="s">
        <v>1072</v>
      </c>
      <c r="F885" s="72" t="s">
        <v>1064</v>
      </c>
      <c r="G885" s="55">
        <v>42416</v>
      </c>
      <c r="H885" s="56" t="str">
        <f t="shared" si="1022"/>
        <v>8 AÑOS</v>
      </c>
      <c r="I885" s="57">
        <v>4913.376968141848</v>
      </c>
      <c r="J885" s="58"/>
      <c r="K885" s="58"/>
      <c r="L885" s="59"/>
      <c r="M885" s="60">
        <v>4.0000000000000002E-4</v>
      </c>
      <c r="N885" s="61">
        <f t="shared" si="1023"/>
        <v>196.53507872567391</v>
      </c>
      <c r="O885" s="58">
        <f t="shared" si="1024"/>
        <v>5109.9120468675219</v>
      </c>
      <c r="P885" s="61">
        <f t="shared" si="1025"/>
        <v>10219.824093735044</v>
      </c>
      <c r="Q885" s="61">
        <f t="shared" si="1026"/>
        <v>7664.8680703012833</v>
      </c>
      <c r="R885" s="61">
        <f t="shared" si="1027"/>
        <v>2554.9560234337609</v>
      </c>
      <c r="S885" s="61">
        <f t="shared" si="1028"/>
        <v>340.66080312450146</v>
      </c>
      <c r="T885" s="58">
        <f t="shared" si="1029"/>
        <v>391.04453590661518</v>
      </c>
      <c r="U885" s="61">
        <f t="shared" si="1030"/>
        <v>3832.4340351506416</v>
      </c>
      <c r="V885" s="58">
        <f t="shared" si="1031"/>
        <v>1277.4780117168805</v>
      </c>
      <c r="W885" s="62">
        <v>0</v>
      </c>
      <c r="X885" s="63">
        <f t="shared" si="1032"/>
        <v>0</v>
      </c>
      <c r="Y885" s="61">
        <v>520.97691004877959</v>
      </c>
      <c r="Z885" s="61">
        <v>0</v>
      </c>
      <c r="AA885" s="61">
        <f t="shared" si="1033"/>
        <v>1277.4780117168805</v>
      </c>
      <c r="AB885" s="61">
        <f t="shared" si="1034"/>
        <v>255.49560234337608</v>
      </c>
      <c r="AC885" s="61">
        <v>1800.9612759438785</v>
      </c>
      <c r="AD885" s="61">
        <v>970.3965680790609</v>
      </c>
      <c r="AE885" s="61">
        <v>606.1190306552536</v>
      </c>
      <c r="AF885" s="61">
        <v>0</v>
      </c>
      <c r="AG885" s="61">
        <f t="shared" si="1035"/>
        <v>352.58393123385906</v>
      </c>
      <c r="AH885" s="64"/>
      <c r="AI885" s="64"/>
      <c r="AJ885" s="67">
        <v>16</v>
      </c>
      <c r="AK885" s="73" t="s">
        <v>42</v>
      </c>
      <c r="AL885" s="67">
        <v>19037</v>
      </c>
      <c r="AM885" s="72" t="s">
        <v>1072</v>
      </c>
      <c r="AN885" s="72" t="s">
        <v>1064</v>
      </c>
      <c r="AO885" s="65">
        <f t="shared" si="1044"/>
        <v>91978.4168436154</v>
      </c>
      <c r="AP885" s="65">
        <f t="shared" si="1044"/>
        <v>30659.472281205133</v>
      </c>
      <c r="AQ885" s="65">
        <f t="shared" si="1045"/>
        <v>0</v>
      </c>
      <c r="AR885" s="65">
        <f t="shared" si="1045"/>
        <v>6251.7229205853546</v>
      </c>
      <c r="AS885" s="65">
        <f t="shared" si="1045"/>
        <v>0</v>
      </c>
      <c r="AT885" s="65">
        <f t="shared" si="1045"/>
        <v>15329.736140602567</v>
      </c>
      <c r="AU885" s="65">
        <f t="shared" si="1045"/>
        <v>3065.947228120513</v>
      </c>
      <c r="AV885" s="65">
        <f t="shared" si="1045"/>
        <v>21611.535311326541</v>
      </c>
      <c r="AW885" s="65">
        <f t="shared" si="1045"/>
        <v>11644.758816948732</v>
      </c>
      <c r="AX885" s="65">
        <f t="shared" si="1045"/>
        <v>7273.4283678630436</v>
      </c>
      <c r="AY885" s="65">
        <f t="shared" si="1045"/>
        <v>0</v>
      </c>
      <c r="AZ885" s="65">
        <f t="shared" si="1045"/>
        <v>4231.0071748063092</v>
      </c>
      <c r="BB885" s="64"/>
      <c r="BC885" s="66"/>
      <c r="BD885" s="66"/>
      <c r="BE885" s="66"/>
    </row>
    <row r="886" spans="1:177" ht="21" customHeight="1" x14ac:dyDescent="0.2">
      <c r="B886" s="51">
        <v>17</v>
      </c>
      <c r="C886" s="73" t="s">
        <v>42</v>
      </c>
      <c r="D886" s="67">
        <v>19047</v>
      </c>
      <c r="E886" s="53" t="s">
        <v>1073</v>
      </c>
      <c r="F886" s="72" t="s">
        <v>1064</v>
      </c>
      <c r="G886" s="55">
        <v>43430</v>
      </c>
      <c r="H886" s="56" t="str">
        <f t="shared" si="1022"/>
        <v>6 AÑOS</v>
      </c>
      <c r="I886" s="57">
        <v>4913.376968141848</v>
      </c>
      <c r="J886" s="58"/>
      <c r="K886" s="58"/>
      <c r="L886" s="59"/>
      <c r="M886" s="60">
        <v>4.0000000000000002E-4</v>
      </c>
      <c r="N886" s="61">
        <f t="shared" si="1023"/>
        <v>196.53507872567391</v>
      </c>
      <c r="O886" s="58">
        <f t="shared" si="1024"/>
        <v>5109.9120468675219</v>
      </c>
      <c r="P886" s="61">
        <f t="shared" si="1025"/>
        <v>10219.824093735044</v>
      </c>
      <c r="Q886" s="61">
        <f t="shared" si="1026"/>
        <v>7664.8680703012833</v>
      </c>
      <c r="R886" s="61">
        <f t="shared" si="1027"/>
        <v>2554.9560234337609</v>
      </c>
      <c r="S886" s="61">
        <f t="shared" si="1028"/>
        <v>340.66080312450146</v>
      </c>
      <c r="T886" s="58">
        <f t="shared" si="1029"/>
        <v>391.04453590661518</v>
      </c>
      <c r="U886" s="61">
        <f t="shared" si="1030"/>
        <v>3832.4340351506416</v>
      </c>
      <c r="V886" s="58">
        <f t="shared" si="1031"/>
        <v>1277.4780117168805</v>
      </c>
      <c r="W886" s="62">
        <v>0</v>
      </c>
      <c r="X886" s="63">
        <f t="shared" si="1032"/>
        <v>0</v>
      </c>
      <c r="Y886" s="61">
        <v>520.97691004877959</v>
      </c>
      <c r="Z886" s="61">
        <v>0</v>
      </c>
      <c r="AA886" s="61">
        <f t="shared" si="1033"/>
        <v>1277.4780117168805</v>
      </c>
      <c r="AB886" s="61">
        <f t="shared" si="1034"/>
        <v>255.49560234337608</v>
      </c>
      <c r="AC886" s="61">
        <v>1800.9612759438785</v>
      </c>
      <c r="AD886" s="61">
        <v>970.3965680790609</v>
      </c>
      <c r="AE886" s="61">
        <v>606.1190306552536</v>
      </c>
      <c r="AF886" s="61">
        <v>0</v>
      </c>
      <c r="AG886" s="61">
        <f t="shared" si="1035"/>
        <v>352.58393123385906</v>
      </c>
      <c r="AH886" s="64"/>
      <c r="AI886" s="64"/>
      <c r="AJ886" s="51">
        <v>17</v>
      </c>
      <c r="AK886" s="73" t="s">
        <v>42</v>
      </c>
      <c r="AL886" s="67">
        <v>19047</v>
      </c>
      <c r="AM886" s="53" t="s">
        <v>1073</v>
      </c>
      <c r="AN886" s="72" t="s">
        <v>1064</v>
      </c>
      <c r="AO886" s="65">
        <f t="shared" si="1044"/>
        <v>91978.4168436154</v>
      </c>
      <c r="AP886" s="65">
        <f t="shared" si="1044"/>
        <v>30659.472281205133</v>
      </c>
      <c r="AQ886" s="65">
        <f t="shared" si="1045"/>
        <v>0</v>
      </c>
      <c r="AR886" s="65">
        <f t="shared" si="1045"/>
        <v>6251.7229205853546</v>
      </c>
      <c r="AS886" s="65">
        <f t="shared" si="1045"/>
        <v>0</v>
      </c>
      <c r="AT886" s="65">
        <f t="shared" si="1045"/>
        <v>15329.736140602567</v>
      </c>
      <c r="AU886" s="65">
        <f t="shared" si="1045"/>
        <v>3065.947228120513</v>
      </c>
      <c r="AV886" s="65">
        <f t="shared" si="1045"/>
        <v>21611.535311326541</v>
      </c>
      <c r="AW886" s="65">
        <f t="shared" si="1045"/>
        <v>11644.758816948732</v>
      </c>
      <c r="AX886" s="65">
        <f t="shared" si="1045"/>
        <v>7273.4283678630436</v>
      </c>
      <c r="AY886" s="65">
        <f t="shared" si="1045"/>
        <v>0</v>
      </c>
      <c r="AZ886" s="65">
        <f t="shared" si="1045"/>
        <v>4231.0071748063092</v>
      </c>
      <c r="BB886" s="64"/>
      <c r="BC886" s="66"/>
      <c r="BD886" s="66"/>
      <c r="BE886" s="66"/>
    </row>
    <row r="887" spans="1:177" s="96" customFormat="1" ht="21" customHeight="1" x14ac:dyDescent="0.2">
      <c r="A887" s="50"/>
      <c r="B887" s="455" t="s">
        <v>99</v>
      </c>
      <c r="C887" s="456"/>
      <c r="D887" s="456"/>
      <c r="E887" s="143">
        <v>17</v>
      </c>
      <c r="F887" s="166" t="s">
        <v>65</v>
      </c>
      <c r="G887" s="89"/>
      <c r="H887" s="89"/>
      <c r="I887" s="91">
        <f>SUM(I870:I886)</f>
        <v>93066.406978276995</v>
      </c>
      <c r="J887" s="91">
        <f t="shared" ref="J887:AG887" si="1046">SUM(J870:J886)</f>
        <v>0</v>
      </c>
      <c r="K887" s="91">
        <f t="shared" si="1046"/>
        <v>0</v>
      </c>
      <c r="L887" s="140">
        <f t="shared" si="1046"/>
        <v>0</v>
      </c>
      <c r="M887" s="91">
        <f t="shared" si="1046"/>
        <v>6.8000000000000022E-3</v>
      </c>
      <c r="N887" s="91">
        <f t="shared" si="1046"/>
        <v>3722.6562791310789</v>
      </c>
      <c r="O887" s="91">
        <f t="shared" si="1046"/>
        <v>96789.063257408096</v>
      </c>
      <c r="P887" s="91">
        <f t="shared" si="1046"/>
        <v>193578.12651481619</v>
      </c>
      <c r="Q887" s="91">
        <f t="shared" si="1046"/>
        <v>145183.59488611209</v>
      </c>
      <c r="R887" s="91">
        <f t="shared" si="1046"/>
        <v>48394.531628704048</v>
      </c>
      <c r="S887" s="91">
        <f t="shared" si="1046"/>
        <v>6452.6042171605368</v>
      </c>
      <c r="T887" s="91">
        <f t="shared" si="1046"/>
        <v>7406.9443808785809</v>
      </c>
      <c r="U887" s="141">
        <f t="shared" si="1046"/>
        <v>72591.797443056043</v>
      </c>
      <c r="V887" s="91">
        <f t="shared" si="1046"/>
        <v>24197.265814352024</v>
      </c>
      <c r="W887" s="91">
        <f t="shared" si="1046"/>
        <v>0</v>
      </c>
      <c r="X887" s="91">
        <f t="shared" si="1046"/>
        <v>0</v>
      </c>
      <c r="Y887" s="91">
        <f t="shared" si="1046"/>
        <v>10983.610664443675</v>
      </c>
      <c r="Z887" s="91">
        <f t="shared" si="1046"/>
        <v>0</v>
      </c>
      <c r="AA887" s="91">
        <f t="shared" si="1046"/>
        <v>24197.265814352024</v>
      </c>
      <c r="AB887" s="91">
        <f t="shared" si="1046"/>
        <v>4839.4531628704035</v>
      </c>
      <c r="AC887" s="91">
        <f t="shared" si="1046"/>
        <v>33048.106052641211</v>
      </c>
      <c r="AD887" s="91">
        <f t="shared" si="1046"/>
        <v>18641.639478072291</v>
      </c>
      <c r="AE887" s="91">
        <f t="shared" si="1046"/>
        <v>11480.763790361805</v>
      </c>
      <c r="AF887" s="91">
        <f t="shared" si="1046"/>
        <v>0</v>
      </c>
      <c r="AG887" s="91">
        <f t="shared" si="1046"/>
        <v>6678.445364761159</v>
      </c>
      <c r="AH887" s="92"/>
      <c r="AI887" s="92"/>
      <c r="AJ887" s="455" t="s">
        <v>99</v>
      </c>
      <c r="AK887" s="456"/>
      <c r="AL887" s="456"/>
      <c r="AM887" s="143">
        <v>17</v>
      </c>
      <c r="AN887" s="166" t="s">
        <v>65</v>
      </c>
      <c r="AO887" s="93">
        <f>SUM(AO870:AO886)</f>
        <v>1682942.5986642092</v>
      </c>
      <c r="AP887" s="93">
        <f t="shared" ref="AP887:AZ887" si="1047">SUM(AP870:AP886)</f>
        <v>560980.86622140289</v>
      </c>
      <c r="AQ887" s="93">
        <f t="shared" si="1047"/>
        <v>0</v>
      </c>
      <c r="AR887" s="93">
        <f t="shared" si="1047"/>
        <v>127546.50637668208</v>
      </c>
      <c r="AS887" s="93">
        <f t="shared" si="1047"/>
        <v>0</v>
      </c>
      <c r="AT887" s="93">
        <f t="shared" si="1047"/>
        <v>280490.43311070144</v>
      </c>
      <c r="AU887" s="93">
        <f t="shared" si="1047"/>
        <v>56098.086622140312</v>
      </c>
      <c r="AV887" s="93">
        <f t="shared" si="1047"/>
        <v>383054.35884805617</v>
      </c>
      <c r="AW887" s="93">
        <f t="shared" si="1047"/>
        <v>216020.82386123316</v>
      </c>
      <c r="AX887" s="93">
        <f t="shared" si="1047"/>
        <v>133082.98684268002</v>
      </c>
      <c r="AY887" s="93">
        <f t="shared" si="1047"/>
        <v>0</v>
      </c>
      <c r="AZ887" s="93">
        <f t="shared" si="1047"/>
        <v>77415.359538553588</v>
      </c>
      <c r="BA887" s="94"/>
      <c r="BB887" s="92"/>
      <c r="BC887" s="95"/>
      <c r="BD887" s="95"/>
      <c r="BE887" s="95"/>
      <c r="BF887" s="50"/>
      <c r="BG887" s="50"/>
      <c r="BH887" s="50"/>
      <c r="BI887" s="50"/>
      <c r="BJ887" s="50"/>
      <c r="BK887" s="50"/>
      <c r="BL887" s="50"/>
      <c r="BM887" s="50"/>
      <c r="BN887" s="50"/>
      <c r="BO887" s="50"/>
      <c r="BP887" s="50"/>
      <c r="BQ887" s="50"/>
      <c r="BR887" s="50"/>
      <c r="BS887" s="50"/>
      <c r="BT887" s="50"/>
      <c r="BU887" s="50"/>
      <c r="BV887" s="50"/>
      <c r="BW887" s="50"/>
      <c r="BX887" s="50"/>
      <c r="BY887" s="50"/>
      <c r="BZ887" s="50"/>
      <c r="CA887" s="50"/>
      <c r="CB887" s="50"/>
      <c r="CC887" s="50"/>
      <c r="CD887" s="50"/>
      <c r="CE887" s="50"/>
      <c r="CF887" s="50"/>
      <c r="CG887" s="50"/>
      <c r="CH887" s="50"/>
      <c r="CI887" s="50"/>
      <c r="CJ887" s="50"/>
      <c r="CK887" s="50"/>
      <c r="CL887" s="50"/>
      <c r="CM887" s="50"/>
      <c r="CN887" s="50"/>
      <c r="CO887" s="50"/>
      <c r="CP887" s="50"/>
      <c r="CQ887" s="50"/>
      <c r="CR887" s="50"/>
      <c r="CS887" s="50"/>
      <c r="CT887" s="50"/>
      <c r="CU887" s="50"/>
      <c r="CV887" s="50"/>
      <c r="CW887" s="50"/>
      <c r="CX887" s="50"/>
      <c r="CY887" s="50"/>
      <c r="CZ887" s="50"/>
      <c r="DA887" s="50"/>
      <c r="DB887" s="50"/>
      <c r="DC887" s="50"/>
      <c r="DD887" s="50"/>
      <c r="DE887" s="50"/>
      <c r="DF887" s="50"/>
      <c r="DG887" s="50"/>
      <c r="DH887" s="50"/>
      <c r="DI887" s="50"/>
      <c r="DJ887" s="50"/>
      <c r="DK887" s="50"/>
      <c r="DL887" s="50"/>
      <c r="DM887" s="50"/>
      <c r="DN887" s="50"/>
      <c r="DO887" s="50"/>
      <c r="DP887" s="50"/>
      <c r="DQ887" s="50"/>
      <c r="DR887" s="50"/>
      <c r="DS887" s="50"/>
      <c r="DT887" s="50"/>
      <c r="DU887" s="50"/>
      <c r="DV887" s="50"/>
      <c r="DW887" s="50"/>
      <c r="DX887" s="50"/>
      <c r="DY887" s="50"/>
      <c r="DZ887" s="50"/>
      <c r="EA887" s="50"/>
      <c r="EB887" s="50"/>
      <c r="EC887" s="50"/>
      <c r="ED887" s="50"/>
      <c r="EE887" s="50"/>
      <c r="EF887" s="50"/>
      <c r="EG887" s="50"/>
      <c r="EH887" s="50"/>
      <c r="EI887" s="50"/>
      <c r="EJ887" s="50"/>
      <c r="EK887" s="50"/>
      <c r="EL887" s="50"/>
      <c r="EM887" s="50"/>
      <c r="EN887" s="50"/>
      <c r="EO887" s="50"/>
      <c r="EP887" s="50"/>
      <c r="EQ887" s="50"/>
      <c r="ER887" s="50"/>
      <c r="ES887" s="50"/>
      <c r="ET887" s="50"/>
      <c r="EU887" s="50"/>
      <c r="EV887" s="50"/>
      <c r="EW887" s="50"/>
      <c r="EX887" s="50"/>
      <c r="EY887" s="50"/>
      <c r="EZ887" s="50"/>
      <c r="FA887" s="50"/>
      <c r="FB887" s="50"/>
      <c r="FC887" s="50"/>
      <c r="FD887" s="50"/>
      <c r="FE887" s="50"/>
      <c r="FF887" s="50"/>
      <c r="FG887" s="50"/>
      <c r="FH887" s="50"/>
      <c r="FI887" s="50"/>
      <c r="FJ887" s="50"/>
      <c r="FK887" s="50"/>
      <c r="FL887" s="50"/>
      <c r="FM887" s="50"/>
      <c r="FN887" s="50"/>
      <c r="FO887" s="50"/>
      <c r="FP887" s="50"/>
      <c r="FQ887" s="50"/>
      <c r="FR887" s="50"/>
      <c r="FS887" s="50"/>
      <c r="FT887" s="50"/>
      <c r="FU887" s="50"/>
    </row>
    <row r="888" spans="1:177" ht="21" customHeight="1" x14ac:dyDescent="0.2">
      <c r="B888" s="457" t="s">
        <v>101</v>
      </c>
      <c r="C888" s="458"/>
      <c r="D888" s="458"/>
      <c r="E888" s="76">
        <v>15</v>
      </c>
      <c r="F888" s="287" t="s">
        <v>1074</v>
      </c>
      <c r="G888" s="147"/>
      <c r="H888" s="289"/>
      <c r="I888" s="57">
        <f>I887</f>
        <v>93066.406978276995</v>
      </c>
      <c r="J888" s="57">
        <f t="shared" ref="J888:AG888" si="1048">J887</f>
        <v>0</v>
      </c>
      <c r="K888" s="57">
        <f t="shared" si="1048"/>
        <v>0</v>
      </c>
      <c r="L888" s="74">
        <f t="shared" si="1048"/>
        <v>0</v>
      </c>
      <c r="M888" s="57">
        <f t="shared" si="1048"/>
        <v>6.8000000000000022E-3</v>
      </c>
      <c r="N888" s="57">
        <f t="shared" si="1048"/>
        <v>3722.6562791310789</v>
      </c>
      <c r="O888" s="57">
        <f t="shared" si="1048"/>
        <v>96789.063257408096</v>
      </c>
      <c r="P888" s="57">
        <f t="shared" si="1048"/>
        <v>193578.12651481619</v>
      </c>
      <c r="Q888" s="57">
        <f t="shared" si="1048"/>
        <v>145183.59488611209</v>
      </c>
      <c r="R888" s="57">
        <f t="shared" si="1048"/>
        <v>48394.531628704048</v>
      </c>
      <c r="S888" s="57">
        <f t="shared" si="1048"/>
        <v>6452.6042171605368</v>
      </c>
      <c r="T888" s="57">
        <f t="shared" si="1048"/>
        <v>7406.9443808785809</v>
      </c>
      <c r="U888" s="81">
        <f t="shared" si="1048"/>
        <v>72591.797443056043</v>
      </c>
      <c r="V888" s="57">
        <f t="shared" si="1048"/>
        <v>24197.265814352024</v>
      </c>
      <c r="W888" s="57">
        <f t="shared" si="1048"/>
        <v>0</v>
      </c>
      <c r="X888" s="57">
        <f t="shared" si="1048"/>
        <v>0</v>
      </c>
      <c r="Y888" s="57">
        <f t="shared" si="1048"/>
        <v>10983.610664443675</v>
      </c>
      <c r="Z888" s="57">
        <f t="shared" si="1048"/>
        <v>0</v>
      </c>
      <c r="AA888" s="57">
        <f t="shared" si="1048"/>
        <v>24197.265814352024</v>
      </c>
      <c r="AB888" s="57">
        <f t="shared" si="1048"/>
        <v>4839.4531628704035</v>
      </c>
      <c r="AC888" s="57">
        <f t="shared" si="1048"/>
        <v>33048.106052641211</v>
      </c>
      <c r="AD888" s="57">
        <f t="shared" si="1048"/>
        <v>18641.639478072291</v>
      </c>
      <c r="AE888" s="57">
        <f t="shared" si="1048"/>
        <v>11480.763790361805</v>
      </c>
      <c r="AF888" s="57">
        <f t="shared" si="1048"/>
        <v>0</v>
      </c>
      <c r="AG888" s="57">
        <f t="shared" si="1048"/>
        <v>6678.445364761159</v>
      </c>
      <c r="AH888" s="92">
        <f>Q888+R888-Y888+Z888+X888+AA888+AB888+AC888+AD888+AE888+AF888+AG888</f>
        <v>281480.1895134314</v>
      </c>
      <c r="AI888" s="92">
        <f>AH888*12</f>
        <v>3377762.2741611768</v>
      </c>
      <c r="AJ888" s="457" t="s">
        <v>101</v>
      </c>
      <c r="AK888" s="458"/>
      <c r="AL888" s="458"/>
      <c r="AM888" s="76">
        <v>15</v>
      </c>
      <c r="AN888" s="287" t="s">
        <v>1074</v>
      </c>
      <c r="AO888" s="124">
        <f>AO887</f>
        <v>1682942.5986642092</v>
      </c>
      <c r="AP888" s="124">
        <f t="shared" ref="AP888:AZ888" si="1049">AP887</f>
        <v>560980.86622140289</v>
      </c>
      <c r="AQ888" s="124">
        <f t="shared" si="1049"/>
        <v>0</v>
      </c>
      <c r="AR888" s="124">
        <f t="shared" si="1049"/>
        <v>127546.50637668208</v>
      </c>
      <c r="AS888" s="124">
        <f t="shared" si="1049"/>
        <v>0</v>
      </c>
      <c r="AT888" s="124">
        <f t="shared" si="1049"/>
        <v>280490.43311070144</v>
      </c>
      <c r="AU888" s="124">
        <f t="shared" si="1049"/>
        <v>56098.086622140312</v>
      </c>
      <c r="AV888" s="124">
        <f t="shared" si="1049"/>
        <v>383054.35884805617</v>
      </c>
      <c r="AW888" s="124">
        <f t="shared" si="1049"/>
        <v>216020.82386123316</v>
      </c>
      <c r="AX888" s="124">
        <f t="shared" si="1049"/>
        <v>133082.98684268002</v>
      </c>
      <c r="AY888" s="124">
        <f t="shared" si="1049"/>
        <v>0</v>
      </c>
      <c r="AZ888" s="124">
        <f t="shared" si="1049"/>
        <v>77415.359538553588</v>
      </c>
      <c r="BA888" s="152"/>
      <c r="BB888" s="92">
        <f>AO888+AP888+AQ888-AR888+AS888+AU888+AV888+AT888+AW888+AX888+AY888+AZ888</f>
        <v>3262539.0073322947</v>
      </c>
      <c r="BC888" s="95"/>
      <c r="BD888" s="95"/>
      <c r="BE888" s="95"/>
      <c r="BF888" s="211"/>
      <c r="BG888" s="211"/>
      <c r="BH888" s="211"/>
    </row>
    <row r="889" spans="1:177" ht="21" customHeight="1" x14ac:dyDescent="0.2">
      <c r="B889" s="457" t="s">
        <v>103</v>
      </c>
      <c r="C889" s="458"/>
      <c r="D889" s="458"/>
      <c r="E889" s="76">
        <f>E887-E888</f>
        <v>2</v>
      </c>
      <c r="F889" s="76"/>
      <c r="G889" s="484"/>
      <c r="H889" s="479"/>
      <c r="I889" s="479"/>
      <c r="J889" s="479"/>
      <c r="K889" s="479"/>
      <c r="L889" s="479"/>
      <c r="M889" s="479"/>
      <c r="N889" s="479"/>
      <c r="O889" s="479"/>
      <c r="P889" s="479"/>
      <c r="Q889" s="479"/>
      <c r="R889" s="479"/>
      <c r="S889" s="479"/>
      <c r="T889" s="479"/>
      <c r="U889" s="479"/>
      <c r="V889" s="479"/>
      <c r="W889" s="479"/>
      <c r="X889" s="479"/>
      <c r="Y889" s="479"/>
      <c r="Z889" s="479"/>
      <c r="AA889" s="479"/>
      <c r="AB889" s="479"/>
      <c r="AC889" s="479"/>
      <c r="AD889" s="479"/>
      <c r="AE889" s="479"/>
      <c r="AF889" s="479"/>
      <c r="AG889" s="480"/>
      <c r="AH889" s="92"/>
      <c r="AI889" s="92"/>
      <c r="AJ889" s="457" t="s">
        <v>103</v>
      </c>
      <c r="AK889" s="458"/>
      <c r="AL889" s="458"/>
      <c r="AM889" s="76">
        <f>AM887-AM888</f>
        <v>2</v>
      </c>
      <c r="AN889" s="76"/>
      <c r="AO889" s="481"/>
      <c r="AP889" s="482"/>
      <c r="AQ889" s="482"/>
      <c r="AR889" s="482"/>
      <c r="AS889" s="482"/>
      <c r="AT889" s="482"/>
      <c r="AU889" s="482"/>
      <c r="AV889" s="482"/>
      <c r="AW889" s="482"/>
      <c r="AX889" s="482"/>
      <c r="AY889" s="482"/>
      <c r="AZ889" s="483"/>
      <c r="BA889" s="152"/>
      <c r="BB889" s="92"/>
      <c r="BC889" s="95"/>
      <c r="BD889" s="95"/>
      <c r="BE889" s="95"/>
    </row>
    <row r="890" spans="1:177" ht="21" customHeight="1" x14ac:dyDescent="0.2">
      <c r="B890" s="5"/>
      <c r="C890" s="94"/>
      <c r="D890" s="5"/>
      <c r="E890" s="94"/>
      <c r="G890" s="27"/>
      <c r="H890" s="27"/>
      <c r="I890" s="95"/>
      <c r="J890" s="95"/>
      <c r="K890" s="95"/>
      <c r="L890" s="27"/>
      <c r="M890" s="128"/>
      <c r="N890" s="66"/>
      <c r="O890" s="95"/>
      <c r="P890" s="66"/>
      <c r="Q890" s="66"/>
      <c r="R890" s="66"/>
      <c r="S890" s="66"/>
      <c r="T890" s="95"/>
      <c r="U890" s="66"/>
      <c r="V890" s="95"/>
      <c r="W890" s="129"/>
      <c r="X890" s="130"/>
      <c r="Y890" s="66"/>
      <c r="Z890" s="66"/>
      <c r="AA890" s="66"/>
      <c r="AB890" s="66"/>
      <c r="AC890" s="66"/>
      <c r="AD890" s="66"/>
      <c r="AE890" s="66"/>
      <c r="AF890" s="66"/>
      <c r="AG890" s="66"/>
      <c r="AH890" s="64"/>
      <c r="AI890" s="64"/>
      <c r="AJ890" s="5"/>
      <c r="AK890" s="94"/>
      <c r="AL890" s="5"/>
      <c r="AM890" s="94"/>
      <c r="AO890" s="153"/>
      <c r="AP890" s="153"/>
      <c r="AQ890" s="153"/>
      <c r="AR890" s="153"/>
      <c r="AS890" s="153"/>
      <c r="AT890" s="153"/>
      <c r="AU890" s="153"/>
      <c r="AV890" s="153"/>
      <c r="AW890" s="153"/>
      <c r="AX890" s="153"/>
      <c r="AY890" s="153"/>
      <c r="AZ890" s="153"/>
      <c r="BA890" s="152"/>
      <c r="BB890" s="92"/>
      <c r="BC890" s="95"/>
      <c r="BD890" s="95"/>
      <c r="BE890" s="95"/>
    </row>
    <row r="891" spans="1:177" ht="21" customHeight="1" x14ac:dyDescent="0.2">
      <c r="B891" s="5"/>
      <c r="C891" s="94"/>
      <c r="D891" s="5"/>
      <c r="E891" s="94"/>
      <c r="G891" s="27"/>
      <c r="H891" s="27"/>
      <c r="I891" s="95"/>
      <c r="J891" s="95"/>
      <c r="K891" s="95"/>
      <c r="L891" s="27"/>
      <c r="M891" s="128"/>
      <c r="N891" s="66"/>
      <c r="O891" s="95"/>
      <c r="P891" s="66"/>
      <c r="Q891" s="66"/>
      <c r="R891" s="66"/>
      <c r="S891" s="66"/>
      <c r="T891" s="95"/>
      <c r="U891" s="66"/>
      <c r="V891" s="95"/>
      <c r="W891" s="129"/>
      <c r="X891" s="130"/>
      <c r="Y891" s="66"/>
      <c r="Z891" s="66"/>
      <c r="AA891" s="66"/>
      <c r="AB891" s="66"/>
      <c r="AC891" s="66"/>
      <c r="AD891" s="66"/>
      <c r="AE891" s="66"/>
      <c r="AF891" s="66"/>
      <c r="AG891" s="66"/>
      <c r="AH891" s="64"/>
      <c r="AI891" s="64"/>
      <c r="AJ891" s="5"/>
      <c r="AK891" s="94"/>
      <c r="AL891" s="5"/>
      <c r="AM891" s="94"/>
      <c r="AO891" s="153"/>
      <c r="AP891" s="153"/>
      <c r="AQ891" s="153"/>
      <c r="AR891" s="153"/>
      <c r="AS891" s="153"/>
      <c r="AT891" s="153"/>
      <c r="AU891" s="153"/>
      <c r="AV891" s="153"/>
      <c r="AW891" s="153"/>
      <c r="AX891" s="153"/>
      <c r="AY891" s="153"/>
      <c r="AZ891" s="153"/>
      <c r="BA891" s="152"/>
      <c r="BB891" s="92"/>
      <c r="BC891" s="95"/>
      <c r="BD891" s="95"/>
      <c r="BE891" s="95"/>
    </row>
    <row r="892" spans="1:177" ht="21" customHeight="1" thickBot="1" x14ac:dyDescent="0.25">
      <c r="B892" s="5"/>
      <c r="C892" s="94"/>
      <c r="D892" s="5"/>
      <c r="E892" s="94"/>
      <c r="G892" s="27"/>
      <c r="H892" s="27"/>
      <c r="I892" s="95"/>
      <c r="J892" s="95"/>
      <c r="K892" s="95"/>
      <c r="L892" s="27"/>
      <c r="M892" s="128"/>
      <c r="N892" s="66"/>
      <c r="O892" s="95"/>
      <c r="P892" s="66"/>
      <c r="Q892" s="66"/>
      <c r="R892" s="66"/>
      <c r="S892" s="66"/>
      <c r="T892" s="95"/>
      <c r="U892" s="66"/>
      <c r="V892" s="95"/>
      <c r="W892" s="129"/>
      <c r="X892" s="130"/>
      <c r="Y892" s="66"/>
      <c r="Z892" s="66"/>
      <c r="AA892" s="66"/>
      <c r="AB892" s="66"/>
      <c r="AC892" s="66"/>
      <c r="AD892" s="66"/>
      <c r="AE892" s="66"/>
      <c r="AF892" s="66"/>
      <c r="AG892" s="66"/>
      <c r="AH892" s="64"/>
      <c r="AI892" s="64"/>
      <c r="AJ892" s="5"/>
      <c r="AK892" s="94"/>
      <c r="AL892" s="5"/>
      <c r="AM892" s="94"/>
      <c r="AO892" s="153"/>
      <c r="AP892" s="153"/>
      <c r="AQ892" s="153"/>
      <c r="AR892" s="153"/>
      <c r="AS892" s="153"/>
      <c r="AT892" s="153"/>
      <c r="AU892" s="153"/>
      <c r="AV892" s="153"/>
      <c r="AW892" s="153"/>
      <c r="AX892" s="153"/>
      <c r="AY892" s="153"/>
      <c r="AZ892" s="153"/>
      <c r="BA892" s="152"/>
      <c r="BB892" s="92"/>
      <c r="BC892" s="95"/>
      <c r="BD892" s="95"/>
      <c r="BE892" s="95"/>
    </row>
    <row r="893" spans="1:177" s="134" customFormat="1" ht="21" customHeight="1" thickBot="1" x14ac:dyDescent="0.25">
      <c r="A893" s="94"/>
      <c r="B893" s="476" t="s">
        <v>1075</v>
      </c>
      <c r="C893" s="477"/>
      <c r="D893" s="477"/>
      <c r="E893" s="478"/>
      <c r="F893" s="466" t="s">
        <v>4</v>
      </c>
      <c r="G893" s="7" t="s">
        <v>5</v>
      </c>
      <c r="H893" s="8" t="s">
        <v>6</v>
      </c>
      <c r="I893" s="9" t="s">
        <v>7</v>
      </c>
      <c r="J893" s="9"/>
      <c r="K893" s="9"/>
      <c r="L893" s="9"/>
      <c r="M893" s="10">
        <v>4.0000000000000002E-4</v>
      </c>
      <c r="N893" s="11" t="s">
        <v>8</v>
      </c>
      <c r="O893" s="12" t="s">
        <v>9</v>
      </c>
      <c r="P893" s="12" t="s">
        <v>10</v>
      </c>
      <c r="Q893" s="13" t="s">
        <v>11</v>
      </c>
      <c r="R893" s="12" t="s">
        <v>12</v>
      </c>
      <c r="S893" s="14" t="s">
        <v>11</v>
      </c>
      <c r="T893" s="15" t="s">
        <v>13</v>
      </c>
      <c r="U893" s="16" t="s">
        <v>11</v>
      </c>
      <c r="V893" s="17" t="s">
        <v>12</v>
      </c>
      <c r="W893" s="18" t="s">
        <v>14</v>
      </c>
      <c r="X893" s="19" t="s">
        <v>15</v>
      </c>
      <c r="Y893" s="15" t="s">
        <v>16</v>
      </c>
      <c r="Z893" s="13" t="s">
        <v>17</v>
      </c>
      <c r="AA893" s="20" t="s">
        <v>18</v>
      </c>
      <c r="AB893" s="17" t="s">
        <v>19</v>
      </c>
      <c r="AC893" s="13" t="s">
        <v>20</v>
      </c>
      <c r="AD893" s="13" t="s">
        <v>21</v>
      </c>
      <c r="AE893" s="13" t="s">
        <v>22</v>
      </c>
      <c r="AF893" s="17" t="s">
        <v>23</v>
      </c>
      <c r="AG893" s="12" t="s">
        <v>24</v>
      </c>
      <c r="AH893" s="132"/>
      <c r="AI893" s="132"/>
      <c r="AJ893" s="476" t="s">
        <v>1075</v>
      </c>
      <c r="AK893" s="477"/>
      <c r="AL893" s="477"/>
      <c r="AM893" s="478"/>
      <c r="AN893" s="466" t="s">
        <v>4</v>
      </c>
      <c r="AO893" s="133" t="s">
        <v>11</v>
      </c>
      <c r="AP893" s="12" t="s">
        <v>12</v>
      </c>
      <c r="AQ893" s="23" t="s">
        <v>15</v>
      </c>
      <c r="AR893" s="22" t="s">
        <v>16</v>
      </c>
      <c r="AS893" s="22" t="s">
        <v>25</v>
      </c>
      <c r="AT893" s="20" t="s">
        <v>26</v>
      </c>
      <c r="AU893" s="24" t="s">
        <v>27</v>
      </c>
      <c r="AV893" s="23" t="s">
        <v>20</v>
      </c>
      <c r="AW893" s="22" t="s">
        <v>28</v>
      </c>
      <c r="AX893" s="22" t="s">
        <v>29</v>
      </c>
      <c r="AY893" s="25" t="s">
        <v>23</v>
      </c>
      <c r="AZ893" s="24" t="s">
        <v>24</v>
      </c>
      <c r="BA893" s="94"/>
      <c r="BB893" s="92"/>
      <c r="BC893" s="95"/>
      <c r="BD893" s="95"/>
      <c r="BE893" s="95"/>
      <c r="BF893" s="94"/>
      <c r="BG893" s="94"/>
      <c r="BH893" s="94"/>
      <c r="BI893" s="94"/>
      <c r="BJ893" s="94"/>
      <c r="BK893" s="94"/>
      <c r="BL893" s="94"/>
      <c r="BM893" s="94"/>
      <c r="BN893" s="94"/>
      <c r="BO893" s="94"/>
      <c r="BP893" s="94"/>
      <c r="BQ893" s="94"/>
      <c r="BR893" s="94"/>
      <c r="BS893" s="94"/>
      <c r="BT893" s="94"/>
      <c r="BU893" s="94"/>
      <c r="BV893" s="94"/>
      <c r="BW893" s="94"/>
      <c r="BX893" s="94"/>
      <c r="BY893" s="94"/>
      <c r="BZ893" s="94"/>
      <c r="CA893" s="94"/>
      <c r="CB893" s="94"/>
      <c r="CC893" s="94"/>
      <c r="CD893" s="94"/>
      <c r="CE893" s="94"/>
      <c r="CF893" s="94"/>
      <c r="CG893" s="94"/>
      <c r="CH893" s="94"/>
      <c r="CI893" s="94"/>
      <c r="CJ893" s="94"/>
      <c r="CK893" s="94"/>
      <c r="CL893" s="94"/>
      <c r="CM893" s="94"/>
      <c r="CN893" s="94"/>
      <c r="CO893" s="94"/>
      <c r="CP893" s="94"/>
      <c r="CQ893" s="94"/>
      <c r="CR893" s="94"/>
      <c r="CS893" s="94"/>
      <c r="CT893" s="94"/>
      <c r="CU893" s="94"/>
      <c r="CV893" s="94"/>
      <c r="CW893" s="94"/>
      <c r="CX893" s="94"/>
      <c r="CY893" s="94"/>
      <c r="CZ893" s="94"/>
      <c r="DA893" s="94"/>
      <c r="DB893" s="94"/>
      <c r="DC893" s="94"/>
      <c r="DD893" s="94"/>
      <c r="DE893" s="94"/>
      <c r="DF893" s="94"/>
      <c r="DG893" s="94"/>
      <c r="DH893" s="94"/>
      <c r="DI893" s="94"/>
      <c r="DJ893" s="94"/>
      <c r="DK893" s="94"/>
      <c r="DL893" s="94"/>
      <c r="DM893" s="94"/>
      <c r="DN893" s="94"/>
      <c r="DO893" s="94"/>
      <c r="DP893" s="94"/>
      <c r="DQ893" s="94"/>
      <c r="DR893" s="94"/>
      <c r="DS893" s="94"/>
      <c r="DT893" s="94"/>
      <c r="DU893" s="94"/>
      <c r="DV893" s="94"/>
      <c r="DW893" s="94"/>
      <c r="DX893" s="94"/>
      <c r="DY893" s="94"/>
      <c r="DZ893" s="94"/>
      <c r="EA893" s="94"/>
      <c r="EB893" s="94"/>
      <c r="EC893" s="94"/>
      <c r="ED893" s="94"/>
      <c r="EE893" s="94"/>
      <c r="EF893" s="94"/>
      <c r="EG893" s="94"/>
      <c r="EH893" s="94"/>
      <c r="EI893" s="94"/>
      <c r="EJ893" s="94"/>
      <c r="EK893" s="94"/>
      <c r="EL893" s="94"/>
      <c r="EM893" s="94"/>
      <c r="EN893" s="94"/>
      <c r="EO893" s="94"/>
      <c r="EP893" s="94"/>
      <c r="EQ893" s="94"/>
      <c r="ER893" s="94"/>
      <c r="ES893" s="94"/>
      <c r="ET893" s="94"/>
      <c r="EU893" s="94"/>
      <c r="EV893" s="94"/>
      <c r="EW893" s="94"/>
      <c r="EX893" s="94"/>
      <c r="EY893" s="94"/>
      <c r="EZ893" s="94"/>
      <c r="FA893" s="94"/>
      <c r="FB893" s="94"/>
      <c r="FC893" s="94"/>
      <c r="FD893" s="94"/>
      <c r="FE893" s="94"/>
      <c r="FF893" s="94"/>
      <c r="FG893" s="94"/>
      <c r="FH893" s="94"/>
      <c r="FI893" s="94"/>
      <c r="FJ893" s="94"/>
      <c r="FK893" s="94"/>
      <c r="FL893" s="94"/>
      <c r="FM893" s="94"/>
      <c r="FN893" s="94"/>
      <c r="FO893" s="94"/>
      <c r="FP893" s="94"/>
      <c r="FQ893" s="94"/>
      <c r="FR893" s="94"/>
      <c r="FS893" s="94"/>
      <c r="FT893" s="94"/>
      <c r="FU893" s="94"/>
    </row>
    <row r="894" spans="1:177" s="134" customFormat="1" ht="21" customHeight="1" thickBot="1" x14ac:dyDescent="0.25">
      <c r="A894" s="94"/>
      <c r="B894" s="30" t="s">
        <v>30</v>
      </c>
      <c r="C894" s="6" t="s">
        <v>31</v>
      </c>
      <c r="D894" s="30" t="s">
        <v>105</v>
      </c>
      <c r="E894" s="32" t="s">
        <v>32</v>
      </c>
      <c r="F894" s="467"/>
      <c r="G894" s="33" t="s">
        <v>33</v>
      </c>
      <c r="H894" s="34">
        <v>45657</v>
      </c>
      <c r="I894" s="35">
        <v>2023</v>
      </c>
      <c r="J894" s="35"/>
      <c r="K894" s="35"/>
      <c r="L894" s="35"/>
      <c r="M894" s="36"/>
      <c r="N894" s="37"/>
      <c r="O894" s="38">
        <v>2024</v>
      </c>
      <c r="P894" s="39" t="s">
        <v>34</v>
      </c>
      <c r="Q894" s="40" t="s">
        <v>35</v>
      </c>
      <c r="R894" s="39" t="s">
        <v>36</v>
      </c>
      <c r="S894" s="41" t="s">
        <v>37</v>
      </c>
      <c r="T894" s="42" t="s">
        <v>38</v>
      </c>
      <c r="U894" s="43" t="s">
        <v>39</v>
      </c>
      <c r="V894" s="41" t="s">
        <v>39</v>
      </c>
      <c r="W894" s="44" t="s">
        <v>15</v>
      </c>
      <c r="X894" s="45" t="s">
        <v>35</v>
      </c>
      <c r="Y894" s="42" t="s">
        <v>35</v>
      </c>
      <c r="Z894" s="40" t="s">
        <v>35</v>
      </c>
      <c r="AA894" s="46" t="s">
        <v>35</v>
      </c>
      <c r="AB894" s="41" t="s">
        <v>35</v>
      </c>
      <c r="AC894" s="40" t="s">
        <v>35</v>
      </c>
      <c r="AD894" s="40" t="s">
        <v>35</v>
      </c>
      <c r="AE894" s="40" t="s">
        <v>35</v>
      </c>
      <c r="AF894" s="41" t="s">
        <v>35</v>
      </c>
      <c r="AG894" s="40" t="s">
        <v>35</v>
      </c>
      <c r="AH894" s="135"/>
      <c r="AI894" s="135"/>
      <c r="AJ894" s="30" t="s">
        <v>30</v>
      </c>
      <c r="AK894" s="6" t="s">
        <v>31</v>
      </c>
      <c r="AL894" s="30" t="s">
        <v>105</v>
      </c>
      <c r="AM894" s="32" t="s">
        <v>32</v>
      </c>
      <c r="AN894" s="467"/>
      <c r="AO894" s="46" t="s">
        <v>40</v>
      </c>
      <c r="AP894" s="39" t="s">
        <v>41</v>
      </c>
      <c r="AQ894" s="48" t="s">
        <v>40</v>
      </c>
      <c r="AR894" s="49" t="s">
        <v>40</v>
      </c>
      <c r="AS894" s="49" t="s">
        <v>40</v>
      </c>
      <c r="AT894" s="46" t="s">
        <v>40</v>
      </c>
      <c r="AU894" s="49" t="s">
        <v>40</v>
      </c>
      <c r="AV894" s="48" t="s">
        <v>40</v>
      </c>
      <c r="AW894" s="49" t="s">
        <v>40</v>
      </c>
      <c r="AX894" s="49" t="s">
        <v>40</v>
      </c>
      <c r="AY894" s="48" t="s">
        <v>40</v>
      </c>
      <c r="AZ894" s="49" t="s">
        <v>40</v>
      </c>
      <c r="BA894" s="94"/>
      <c r="BB894" s="92"/>
      <c r="BC894" s="95"/>
      <c r="BD894" s="95"/>
      <c r="BE894" s="95"/>
      <c r="BF894" s="94"/>
      <c r="BG894" s="94"/>
      <c r="BH894" s="94"/>
      <c r="BI894" s="94"/>
      <c r="BJ894" s="94"/>
      <c r="BK894" s="94"/>
      <c r="BL894" s="94"/>
      <c r="BM894" s="94"/>
      <c r="BN894" s="94"/>
      <c r="BO894" s="94"/>
      <c r="BP894" s="94"/>
      <c r="BQ894" s="94"/>
      <c r="BR894" s="94"/>
      <c r="BS894" s="94"/>
      <c r="BT894" s="94"/>
      <c r="BU894" s="94"/>
      <c r="BV894" s="94"/>
      <c r="BW894" s="94"/>
      <c r="BX894" s="94"/>
      <c r="BY894" s="94"/>
      <c r="BZ894" s="94"/>
      <c r="CA894" s="94"/>
      <c r="CB894" s="94"/>
      <c r="CC894" s="94"/>
      <c r="CD894" s="94"/>
      <c r="CE894" s="94"/>
      <c r="CF894" s="94"/>
      <c r="CG894" s="94"/>
      <c r="CH894" s="94"/>
      <c r="CI894" s="94"/>
      <c r="CJ894" s="94"/>
      <c r="CK894" s="94"/>
      <c r="CL894" s="94"/>
      <c r="CM894" s="94"/>
      <c r="CN894" s="94"/>
      <c r="CO894" s="94"/>
      <c r="CP894" s="94"/>
      <c r="CQ894" s="94"/>
      <c r="CR894" s="94"/>
      <c r="CS894" s="94"/>
      <c r="CT894" s="94"/>
      <c r="CU894" s="94"/>
      <c r="CV894" s="94"/>
      <c r="CW894" s="94"/>
      <c r="CX894" s="94"/>
      <c r="CY894" s="94"/>
      <c r="CZ894" s="94"/>
      <c r="DA894" s="94"/>
      <c r="DB894" s="94"/>
      <c r="DC894" s="94"/>
      <c r="DD894" s="94"/>
      <c r="DE894" s="94"/>
      <c r="DF894" s="94"/>
      <c r="DG894" s="94"/>
      <c r="DH894" s="94"/>
      <c r="DI894" s="94"/>
      <c r="DJ894" s="94"/>
      <c r="DK894" s="94"/>
      <c r="DL894" s="94"/>
      <c r="DM894" s="94"/>
      <c r="DN894" s="94"/>
      <c r="DO894" s="94"/>
      <c r="DP894" s="94"/>
      <c r="DQ894" s="94"/>
      <c r="DR894" s="94"/>
      <c r="DS894" s="94"/>
      <c r="DT894" s="94"/>
      <c r="DU894" s="94"/>
      <c r="DV894" s="94"/>
      <c r="DW894" s="94"/>
      <c r="DX894" s="94"/>
      <c r="DY894" s="94"/>
      <c r="DZ894" s="94"/>
      <c r="EA894" s="94"/>
      <c r="EB894" s="94"/>
      <c r="EC894" s="94"/>
      <c r="ED894" s="94"/>
      <c r="EE894" s="94"/>
      <c r="EF894" s="94"/>
      <c r="EG894" s="94"/>
      <c r="EH894" s="94"/>
      <c r="EI894" s="94"/>
      <c r="EJ894" s="94"/>
      <c r="EK894" s="94"/>
      <c r="EL894" s="94"/>
      <c r="EM894" s="94"/>
      <c r="EN894" s="94"/>
      <c r="EO894" s="94"/>
      <c r="EP894" s="94"/>
      <c r="EQ894" s="94"/>
      <c r="ER894" s="94"/>
      <c r="ES894" s="94"/>
      <c r="ET894" s="94"/>
      <c r="EU894" s="94"/>
      <c r="EV894" s="94"/>
      <c r="EW894" s="94"/>
      <c r="EX894" s="94"/>
      <c r="EY894" s="94"/>
      <c r="EZ894" s="94"/>
      <c r="FA894" s="94"/>
      <c r="FB894" s="94"/>
      <c r="FC894" s="94"/>
      <c r="FD894" s="94"/>
      <c r="FE894" s="94"/>
      <c r="FF894" s="94"/>
      <c r="FG894" s="94"/>
      <c r="FH894" s="94"/>
      <c r="FI894" s="94"/>
      <c r="FJ894" s="94"/>
      <c r="FK894" s="94"/>
      <c r="FL894" s="94"/>
      <c r="FM894" s="94"/>
      <c r="FN894" s="94"/>
      <c r="FO894" s="94"/>
      <c r="FP894" s="94"/>
      <c r="FQ894" s="94"/>
      <c r="FR894" s="94"/>
      <c r="FS894" s="94"/>
      <c r="FT894" s="94"/>
      <c r="FU894" s="94"/>
    </row>
    <row r="895" spans="1:177" ht="21" customHeight="1" x14ac:dyDescent="0.2">
      <c r="B895" s="51">
        <v>1</v>
      </c>
      <c r="C895" s="77" t="s">
        <v>42</v>
      </c>
      <c r="D895" s="51">
        <v>20020</v>
      </c>
      <c r="E895" s="77" t="s">
        <v>1076</v>
      </c>
      <c r="F895" s="53" t="s">
        <v>1077</v>
      </c>
      <c r="G895" s="100">
        <v>43383</v>
      </c>
      <c r="H895" s="100" t="str">
        <f t="shared" ref="H895:H897" si="1050" xml:space="preserve"> CONCATENATE(DATEDIF(G895,H$5,"Y")," AÑOS")</f>
        <v>6 AÑOS</v>
      </c>
      <c r="I895" s="75">
        <v>13462.217197652961</v>
      </c>
      <c r="J895" s="75"/>
      <c r="K895" s="75"/>
      <c r="L895" s="137"/>
      <c r="M895" s="290">
        <v>4.0000000000000002E-4</v>
      </c>
      <c r="N895" s="61">
        <f>I895*0.04</f>
        <v>538.48868790611846</v>
      </c>
      <c r="O895" s="58">
        <f>I895+N895</f>
        <v>14000.705885559079</v>
      </c>
      <c r="P895" s="61">
        <f>O895*2</f>
        <v>28001.411771118157</v>
      </c>
      <c r="Q895" s="61">
        <f>P895*0.75</f>
        <v>21001.058828338617</v>
      </c>
      <c r="R895" s="61">
        <f>P895*0.25</f>
        <v>7000.3529427795393</v>
      </c>
      <c r="S895" s="61">
        <f>(P895/30)</f>
        <v>933.38039237060525</v>
      </c>
      <c r="T895" s="58">
        <f t="shared" si="1029"/>
        <v>1071.4273524022176</v>
      </c>
      <c r="U895" s="61">
        <f>O895*0.75</f>
        <v>10500.529414169308</v>
      </c>
      <c r="V895" s="58">
        <f>O895*0.25</f>
        <v>3500.1764713897696</v>
      </c>
      <c r="W895" s="62">
        <v>0</v>
      </c>
      <c r="X895" s="63">
        <f>P895*W895</f>
        <v>0</v>
      </c>
      <c r="Y895" s="61">
        <v>2839.7022137331287</v>
      </c>
      <c r="Z895" s="61">
        <v>0</v>
      </c>
      <c r="AA895" s="61">
        <f>(S895*45)/12</f>
        <v>3500.1764713897696</v>
      </c>
      <c r="AB895" s="61">
        <f>(S895*10)*(0.45*2)/12</f>
        <v>700.03529427795399</v>
      </c>
      <c r="AC895" s="61">
        <v>3980.3058853180346</v>
      </c>
      <c r="AD895" s="61">
        <v>2808.2646620138321</v>
      </c>
      <c r="AE895" s="61">
        <v>1660.7123962234373</v>
      </c>
      <c r="AF895" s="61">
        <v>0</v>
      </c>
      <c r="AG895" s="61">
        <f>(P895+AA895+AB895)*0.03</f>
        <v>966.04870610357636</v>
      </c>
      <c r="AH895" s="64"/>
      <c r="AI895" s="64"/>
      <c r="AJ895" s="51">
        <v>1</v>
      </c>
      <c r="AK895" s="77" t="s">
        <v>42</v>
      </c>
      <c r="AL895" s="51">
        <v>20020</v>
      </c>
      <c r="AM895" s="77" t="s">
        <v>1076</v>
      </c>
      <c r="AN895" s="53" t="s">
        <v>1077</v>
      </c>
      <c r="AO895" s="138">
        <f>Q895*12</f>
        <v>252012.7059400634</v>
      </c>
      <c r="AP895" s="65">
        <f>R895*12</f>
        <v>84004.235313354468</v>
      </c>
      <c r="AQ895" s="65">
        <f t="shared" ref="AQ895:AZ895" si="1051">X895*12</f>
        <v>0</v>
      </c>
      <c r="AR895" s="65">
        <f t="shared" si="1051"/>
        <v>34076.426564797541</v>
      </c>
      <c r="AS895" s="65">
        <f t="shared" si="1051"/>
        <v>0</v>
      </c>
      <c r="AT895" s="65">
        <f t="shared" si="1051"/>
        <v>42002.117656677234</v>
      </c>
      <c r="AU895" s="65">
        <f t="shared" si="1051"/>
        <v>8400.4235313354475</v>
      </c>
      <c r="AV895" s="65">
        <f t="shared" si="1051"/>
        <v>47763.670623816419</v>
      </c>
      <c r="AW895" s="65">
        <f t="shared" si="1051"/>
        <v>33699.175944165981</v>
      </c>
      <c r="AX895" s="65">
        <f t="shared" si="1051"/>
        <v>19928.548754681247</v>
      </c>
      <c r="AY895" s="65">
        <f t="shared" si="1051"/>
        <v>0</v>
      </c>
      <c r="AZ895" s="65">
        <f t="shared" si="1051"/>
        <v>11592.584473242916</v>
      </c>
      <c r="BB895" s="64"/>
      <c r="BC895" s="66"/>
      <c r="BD895" s="66"/>
      <c r="BE895" s="66"/>
    </row>
    <row r="896" spans="1:177" s="364" customFormat="1" ht="21" customHeight="1" x14ac:dyDescent="0.2">
      <c r="B896" s="369">
        <v>2</v>
      </c>
      <c r="C896" s="372" t="s">
        <v>42</v>
      </c>
      <c r="D896" s="365">
        <v>16599</v>
      </c>
      <c r="E896" s="372" t="s">
        <v>1078</v>
      </c>
      <c r="F896" s="421" t="s">
        <v>1079</v>
      </c>
      <c r="G896" s="384">
        <v>44501</v>
      </c>
      <c r="H896" s="55" t="str">
        <f xml:space="preserve"> CONCATENATE(DATEDIF(G896,H$5,"Y")," AÑOS")</f>
        <v>3 AÑOS</v>
      </c>
      <c r="I896" s="57">
        <v>4913.376968141848</v>
      </c>
      <c r="J896" s="57">
        <v>5984.31</v>
      </c>
      <c r="K896" s="108">
        <f>J896-I896</f>
        <v>1070.9330318581524</v>
      </c>
      <c r="L896" s="109">
        <f>K896*100/I896</f>
        <v>21.796272478216956</v>
      </c>
      <c r="M896" s="171">
        <v>2.1800000000000001E-3</v>
      </c>
      <c r="N896" s="61">
        <f>I896*0.2179</f>
        <v>1070.6248413581088</v>
      </c>
      <c r="O896" s="58">
        <f>I896+N896</f>
        <v>5984.0018094999568</v>
      </c>
      <c r="P896" s="61">
        <f>O896*2</f>
        <v>11968.003618999914</v>
      </c>
      <c r="Q896" s="61">
        <f>P896*0.75</f>
        <v>8976.0027142499348</v>
      </c>
      <c r="R896" s="61">
        <f>P896*0.25</f>
        <v>2992.0009047499784</v>
      </c>
      <c r="S896" s="61">
        <f>(P896/30)</f>
        <v>398.93345396666376</v>
      </c>
      <c r="T896" s="58">
        <f>S896*1.1479</f>
        <v>457.93571180833328</v>
      </c>
      <c r="U896" s="61">
        <f>O896*0.75</f>
        <v>4488.0013571249674</v>
      </c>
      <c r="V896" s="58">
        <f>O896*0.25</f>
        <v>1496.0004523749892</v>
      </c>
      <c r="W896" s="62">
        <v>0</v>
      </c>
      <c r="X896" s="63">
        <f>P896*W896</f>
        <v>0</v>
      </c>
      <c r="Y896" s="61">
        <v>663.67865599999993</v>
      </c>
      <c r="Z896" s="61">
        <v>0</v>
      </c>
      <c r="AA896" s="61">
        <f>(S896*45)/12</f>
        <v>1496.0004523749892</v>
      </c>
      <c r="AB896" s="61">
        <f>(S896*10)*(0.45*2)/12</f>
        <v>299.20009047499781</v>
      </c>
      <c r="AC896" s="61">
        <v>2015.2214249096633</v>
      </c>
      <c r="AD896" s="61">
        <v>1200.2723974352318</v>
      </c>
      <c r="AE896" s="61">
        <v>709.80035330291662</v>
      </c>
      <c r="AF896" s="61">
        <v>0</v>
      </c>
      <c r="AG896" s="61">
        <f>(P896+AA896+AB896)*0.03</f>
        <v>412.89612485549702</v>
      </c>
      <c r="AH896" s="64"/>
      <c r="AI896" s="64"/>
      <c r="AJ896" s="369">
        <v>2</v>
      </c>
      <c r="AK896" s="372" t="s">
        <v>42</v>
      </c>
      <c r="AL896" s="365">
        <v>16599</v>
      </c>
      <c r="AM896" s="372" t="s">
        <v>1078</v>
      </c>
      <c r="AN896" s="421" t="s">
        <v>1079</v>
      </c>
      <c r="AO896" s="368">
        <f t="shared" ref="AO896:AP896" si="1052">Q896*3</f>
        <v>26928.008142749804</v>
      </c>
      <c r="AP896" s="368">
        <f t="shared" si="1052"/>
        <v>8976.0027142499348</v>
      </c>
      <c r="AQ896" s="368">
        <f t="shared" ref="AQ896:AZ896" si="1053">X896*3</f>
        <v>0</v>
      </c>
      <c r="AR896" s="368">
        <f t="shared" si="1053"/>
        <v>1991.0359679999997</v>
      </c>
      <c r="AS896" s="368">
        <f t="shared" si="1053"/>
        <v>0</v>
      </c>
      <c r="AT896" s="368">
        <f t="shared" si="1053"/>
        <v>4488.0013571249674</v>
      </c>
      <c r="AU896" s="368">
        <f t="shared" si="1053"/>
        <v>897.60027142499348</v>
      </c>
      <c r="AV896" s="368">
        <f t="shared" si="1053"/>
        <v>6045.6642747289898</v>
      </c>
      <c r="AW896" s="368">
        <f t="shared" si="1053"/>
        <v>3600.8171923056952</v>
      </c>
      <c r="AX896" s="368">
        <f t="shared" si="1053"/>
        <v>2129.4010599087496</v>
      </c>
      <c r="AY896" s="368">
        <f t="shared" si="1053"/>
        <v>0</v>
      </c>
      <c r="AZ896" s="368">
        <f t="shared" si="1053"/>
        <v>1238.6883745664911</v>
      </c>
      <c r="BB896" s="64"/>
      <c r="BC896" s="66"/>
      <c r="BD896" s="66"/>
      <c r="BE896" s="66"/>
    </row>
    <row r="897" spans="1:177" ht="21" customHeight="1" x14ac:dyDescent="0.2">
      <c r="B897" s="67">
        <v>3</v>
      </c>
      <c r="C897" s="73" t="s">
        <v>42</v>
      </c>
      <c r="D897" s="67">
        <v>20010</v>
      </c>
      <c r="E897" s="69" t="s">
        <v>1080</v>
      </c>
      <c r="F897" s="72" t="s">
        <v>1081</v>
      </c>
      <c r="G897" s="55">
        <v>42590</v>
      </c>
      <c r="H897" s="56" t="str">
        <f t="shared" si="1050"/>
        <v>8 AÑOS</v>
      </c>
      <c r="I897" s="57">
        <v>10777.75427095028</v>
      </c>
      <c r="J897" s="58"/>
      <c r="K897" s="58"/>
      <c r="L897" s="59"/>
      <c r="M897" s="60">
        <v>4.0000000000000002E-4</v>
      </c>
      <c r="N897" s="61">
        <f>I897*0.04</f>
        <v>431.11017083801119</v>
      </c>
      <c r="O897" s="58">
        <f>I897+N897</f>
        <v>11208.864441788292</v>
      </c>
      <c r="P897" s="61">
        <f>O897*2</f>
        <v>22417.728883576583</v>
      </c>
      <c r="Q897" s="61">
        <f>P897*0.75</f>
        <v>16813.296662682438</v>
      </c>
      <c r="R897" s="61">
        <f>P897*0.25</f>
        <v>5604.4322208941458</v>
      </c>
      <c r="S897" s="61">
        <f>(P897/30)</f>
        <v>747.25762945255281</v>
      </c>
      <c r="T897" s="58">
        <f t="shared" si="1029"/>
        <v>857.77703284858535</v>
      </c>
      <c r="U897" s="61">
        <f>O897*0.75</f>
        <v>8406.6483313412191</v>
      </c>
      <c r="V897" s="58">
        <f>O897*0.25</f>
        <v>2802.2161104470729</v>
      </c>
      <c r="W897" s="62">
        <v>0</v>
      </c>
      <c r="X897" s="63">
        <f>P897*W897</f>
        <v>0</v>
      </c>
      <c r="Y897" s="61">
        <v>1945.1962151489688</v>
      </c>
      <c r="Z897" s="61">
        <v>0</v>
      </c>
      <c r="AA897" s="61">
        <f>(S897*45)/12</f>
        <v>2802.2161104470729</v>
      </c>
      <c r="AB897" s="61">
        <f>(S897*10)*(0.45*2)/12</f>
        <v>560.44322208941469</v>
      </c>
      <c r="AC897" s="61">
        <v>3295.9592779059062</v>
      </c>
      <c r="AD897" s="61">
        <v>2248.2764919477845</v>
      </c>
      <c r="AE897" s="61">
        <v>1329.5544009153073</v>
      </c>
      <c r="AF897" s="61">
        <v>0</v>
      </c>
      <c r="AG897" s="61">
        <f>(P897+AA897+AB897)*0.03</f>
        <v>773.41164648339213</v>
      </c>
      <c r="AH897" s="64"/>
      <c r="AI897" s="64"/>
      <c r="AJ897" s="67">
        <v>3</v>
      </c>
      <c r="AK897" s="73" t="s">
        <v>42</v>
      </c>
      <c r="AL897" s="67">
        <v>20010</v>
      </c>
      <c r="AM897" s="69" t="s">
        <v>1080</v>
      </c>
      <c r="AN897" s="72" t="s">
        <v>1081</v>
      </c>
      <c r="AO897" s="138">
        <f>Q897*12</f>
        <v>201759.55995218927</v>
      </c>
      <c r="AP897" s="65">
        <f>R897*12</f>
        <v>67253.186650729753</v>
      </c>
      <c r="AQ897" s="65">
        <f t="shared" ref="AQ897:AZ897" si="1054">X897*12</f>
        <v>0</v>
      </c>
      <c r="AR897" s="65">
        <f t="shared" si="1054"/>
        <v>23342.354581787626</v>
      </c>
      <c r="AS897" s="65">
        <f t="shared" si="1054"/>
        <v>0</v>
      </c>
      <c r="AT897" s="65">
        <f t="shared" si="1054"/>
        <v>33626.593325364876</v>
      </c>
      <c r="AU897" s="65">
        <f t="shared" si="1054"/>
        <v>6725.3186650729767</v>
      </c>
      <c r="AV897" s="65">
        <f t="shared" si="1054"/>
        <v>39551.511334870876</v>
      </c>
      <c r="AW897" s="65">
        <f t="shared" si="1054"/>
        <v>26979.317903373412</v>
      </c>
      <c r="AX897" s="65">
        <f t="shared" si="1054"/>
        <v>15954.652810983687</v>
      </c>
      <c r="AY897" s="65">
        <f t="shared" si="1054"/>
        <v>0</v>
      </c>
      <c r="AZ897" s="65">
        <f t="shared" si="1054"/>
        <v>9280.9397578007047</v>
      </c>
      <c r="BB897" s="64"/>
      <c r="BC897" s="66"/>
      <c r="BD897" s="66"/>
      <c r="BE897" s="66"/>
    </row>
    <row r="898" spans="1:177" s="96" customFormat="1" ht="21" customHeight="1" x14ac:dyDescent="0.2">
      <c r="A898" s="50"/>
      <c r="B898" s="468" t="s">
        <v>65</v>
      </c>
      <c r="C898" s="469"/>
      <c r="D898" s="469"/>
      <c r="E898" s="469"/>
      <c r="F898" s="470"/>
      <c r="G898" s="139"/>
      <c r="H898" s="89"/>
      <c r="I898" s="91">
        <f t="shared" ref="I898:AG898" si="1055">SUM(I895:I897)</f>
        <v>29153.348436745087</v>
      </c>
      <c r="J898" s="91">
        <f t="shared" si="1055"/>
        <v>5984.31</v>
      </c>
      <c r="K898" s="91">
        <f t="shared" si="1055"/>
        <v>1070.9330318581524</v>
      </c>
      <c r="L898" s="91">
        <f t="shared" si="1055"/>
        <v>21.796272478216956</v>
      </c>
      <c r="M898" s="91">
        <f t="shared" si="1055"/>
        <v>2.9800000000000004E-3</v>
      </c>
      <c r="N898" s="91">
        <f t="shared" si="1055"/>
        <v>2040.2237001022386</v>
      </c>
      <c r="O898" s="91">
        <f t="shared" si="1055"/>
        <v>31193.572136847324</v>
      </c>
      <c r="P898" s="91">
        <f t="shared" si="1055"/>
        <v>62387.144273694648</v>
      </c>
      <c r="Q898" s="91">
        <f t="shared" si="1055"/>
        <v>46790.35820527099</v>
      </c>
      <c r="R898" s="91">
        <f t="shared" si="1055"/>
        <v>15596.786068423662</v>
      </c>
      <c r="S898" s="91">
        <f t="shared" si="1055"/>
        <v>2079.5714757898218</v>
      </c>
      <c r="T898" s="91">
        <f t="shared" si="1055"/>
        <v>2387.1400970591362</v>
      </c>
      <c r="U898" s="91">
        <f t="shared" si="1055"/>
        <v>23395.179102635495</v>
      </c>
      <c r="V898" s="91">
        <f t="shared" si="1055"/>
        <v>7798.393034211831</v>
      </c>
      <c r="W898" s="91">
        <f t="shared" si="1055"/>
        <v>0</v>
      </c>
      <c r="X898" s="91">
        <f t="shared" si="1055"/>
        <v>0</v>
      </c>
      <c r="Y898" s="91">
        <f t="shared" si="1055"/>
        <v>5448.5770848820976</v>
      </c>
      <c r="Z898" s="91">
        <f t="shared" si="1055"/>
        <v>0</v>
      </c>
      <c r="AA898" s="91">
        <f t="shared" si="1055"/>
        <v>7798.393034211831</v>
      </c>
      <c r="AB898" s="91">
        <f t="shared" si="1055"/>
        <v>1559.6786068423667</v>
      </c>
      <c r="AC898" s="91">
        <f t="shared" si="1055"/>
        <v>9291.4865881336045</v>
      </c>
      <c r="AD898" s="91">
        <f t="shared" si="1055"/>
        <v>6256.8135513968482</v>
      </c>
      <c r="AE898" s="91">
        <f t="shared" si="1055"/>
        <v>3700.0671504416614</v>
      </c>
      <c r="AF898" s="91">
        <f t="shared" si="1055"/>
        <v>0</v>
      </c>
      <c r="AG898" s="91">
        <f t="shared" si="1055"/>
        <v>2152.3564774424658</v>
      </c>
      <c r="AH898" s="92"/>
      <c r="AI898" s="92"/>
      <c r="AJ898" s="468" t="s">
        <v>65</v>
      </c>
      <c r="AK898" s="469"/>
      <c r="AL898" s="469"/>
      <c r="AM898" s="469"/>
      <c r="AN898" s="470"/>
      <c r="AO898" s="144">
        <f t="shared" ref="AO898:AZ898" si="1056">SUM(AO895:AO897)</f>
        <v>480700.27403500245</v>
      </c>
      <c r="AP898" s="144">
        <f t="shared" si="1056"/>
        <v>160233.42467833415</v>
      </c>
      <c r="AQ898" s="144">
        <f t="shared" si="1056"/>
        <v>0</v>
      </c>
      <c r="AR898" s="144">
        <f t="shared" si="1056"/>
        <v>59409.817114585167</v>
      </c>
      <c r="AS898" s="144">
        <f t="shared" si="1056"/>
        <v>0</v>
      </c>
      <c r="AT898" s="144">
        <f t="shared" si="1056"/>
        <v>80116.712339167076</v>
      </c>
      <c r="AU898" s="144">
        <f t="shared" si="1056"/>
        <v>16023.342467833418</v>
      </c>
      <c r="AV898" s="144">
        <f t="shared" si="1056"/>
        <v>93360.84623341629</v>
      </c>
      <c r="AW898" s="144">
        <f t="shared" si="1056"/>
        <v>64279.311039845088</v>
      </c>
      <c r="AX898" s="144">
        <f t="shared" si="1056"/>
        <v>38012.60262557368</v>
      </c>
      <c r="AY898" s="144">
        <f t="shared" si="1056"/>
        <v>0</v>
      </c>
      <c r="AZ898" s="144">
        <f t="shared" si="1056"/>
        <v>22112.212605610111</v>
      </c>
      <c r="BA898" s="94"/>
      <c r="BB898" s="92"/>
      <c r="BC898" s="95"/>
      <c r="BD898" s="95"/>
      <c r="BE898" s="95"/>
      <c r="BF898" s="50"/>
      <c r="BG898" s="50"/>
      <c r="BH898" s="50"/>
      <c r="BI898" s="50"/>
      <c r="BJ898" s="50"/>
      <c r="BK898" s="50"/>
      <c r="BL898" s="50"/>
      <c r="BM898" s="50"/>
      <c r="BN898" s="50"/>
      <c r="BO898" s="50"/>
      <c r="BP898" s="50"/>
      <c r="BQ898" s="50"/>
      <c r="BR898" s="50"/>
      <c r="BS898" s="50"/>
      <c r="BT898" s="50"/>
      <c r="BU898" s="50"/>
      <c r="BV898" s="50"/>
      <c r="BW898" s="50"/>
      <c r="BX898" s="50"/>
      <c r="BY898" s="50"/>
      <c r="BZ898" s="50"/>
      <c r="CA898" s="50"/>
      <c r="CB898" s="50"/>
      <c r="CC898" s="50"/>
      <c r="CD898" s="50"/>
      <c r="CE898" s="50"/>
      <c r="CF898" s="50"/>
      <c r="CG898" s="50"/>
      <c r="CH898" s="50"/>
      <c r="CI898" s="50"/>
      <c r="CJ898" s="50"/>
      <c r="CK898" s="50"/>
      <c r="CL898" s="50"/>
      <c r="CM898" s="50"/>
      <c r="CN898" s="50"/>
      <c r="CO898" s="50"/>
      <c r="CP898" s="50"/>
      <c r="CQ898" s="50"/>
      <c r="CR898" s="50"/>
      <c r="CS898" s="50"/>
      <c r="CT898" s="50"/>
      <c r="CU898" s="50"/>
      <c r="CV898" s="50"/>
      <c r="CW898" s="50"/>
      <c r="CX898" s="50"/>
      <c r="CY898" s="50"/>
      <c r="CZ898" s="50"/>
      <c r="DA898" s="50"/>
      <c r="DB898" s="50"/>
      <c r="DC898" s="50"/>
      <c r="DD898" s="50"/>
      <c r="DE898" s="50"/>
      <c r="DF898" s="50"/>
      <c r="DG898" s="50"/>
      <c r="DH898" s="50"/>
      <c r="DI898" s="50"/>
      <c r="DJ898" s="50"/>
      <c r="DK898" s="50"/>
      <c r="DL898" s="50"/>
      <c r="DM898" s="50"/>
      <c r="DN898" s="50"/>
      <c r="DO898" s="50"/>
      <c r="DP898" s="50"/>
      <c r="DQ898" s="50"/>
      <c r="DR898" s="50"/>
      <c r="DS898" s="50"/>
      <c r="DT898" s="50"/>
      <c r="DU898" s="50"/>
      <c r="DV898" s="50"/>
      <c r="DW898" s="50"/>
      <c r="DX898" s="50"/>
      <c r="DY898" s="50"/>
      <c r="DZ898" s="50"/>
      <c r="EA898" s="50"/>
      <c r="EB898" s="50"/>
      <c r="EC898" s="50"/>
      <c r="ED898" s="50"/>
      <c r="EE898" s="50"/>
      <c r="EF898" s="50"/>
      <c r="EG898" s="50"/>
      <c r="EH898" s="50"/>
      <c r="EI898" s="50"/>
      <c r="EJ898" s="50"/>
      <c r="EK898" s="50"/>
      <c r="EL898" s="50"/>
      <c r="EM898" s="50"/>
      <c r="EN898" s="50"/>
      <c r="EO898" s="50"/>
      <c r="EP898" s="50"/>
      <c r="EQ898" s="50"/>
      <c r="ER898" s="50"/>
      <c r="ES898" s="50"/>
      <c r="ET898" s="50"/>
      <c r="EU898" s="50"/>
      <c r="EV898" s="50"/>
      <c r="EW898" s="50"/>
      <c r="EX898" s="50"/>
      <c r="EY898" s="50"/>
      <c r="EZ898" s="50"/>
      <c r="FA898" s="50"/>
      <c r="FB898" s="50"/>
      <c r="FC898" s="50"/>
      <c r="FD898" s="50"/>
      <c r="FE898" s="50"/>
      <c r="FF898" s="50"/>
      <c r="FG898" s="50"/>
      <c r="FH898" s="50"/>
      <c r="FI898" s="50"/>
      <c r="FJ898" s="50"/>
      <c r="FK898" s="50"/>
      <c r="FL898" s="50"/>
      <c r="FM898" s="50"/>
      <c r="FN898" s="50"/>
      <c r="FO898" s="50"/>
      <c r="FP898" s="50"/>
      <c r="FQ898" s="50"/>
      <c r="FR898" s="50"/>
      <c r="FS898" s="50"/>
      <c r="FT898" s="50"/>
      <c r="FU898" s="50"/>
    </row>
    <row r="899" spans="1:177" ht="21" customHeight="1" x14ac:dyDescent="0.2">
      <c r="B899" s="67">
        <v>4</v>
      </c>
      <c r="C899" s="73" t="s">
        <v>66</v>
      </c>
      <c r="D899" s="67">
        <v>20011</v>
      </c>
      <c r="E899" s="73" t="s">
        <v>1082</v>
      </c>
      <c r="F899" s="73" t="s">
        <v>1083</v>
      </c>
      <c r="G899" s="55">
        <v>42795</v>
      </c>
      <c r="H899" s="56" t="str">
        <f t="shared" ref="H899:H902" si="1057" xml:space="preserve"> CONCATENATE(DATEDIF(G899,H$5,"Y")," AÑOS")</f>
        <v>7 AÑOS</v>
      </c>
      <c r="I899" s="57">
        <v>6442.8155477988566</v>
      </c>
      <c r="J899" s="58"/>
      <c r="K899" s="58"/>
      <c r="L899" s="59"/>
      <c r="M899" s="60">
        <v>4.0000000000000002E-4</v>
      </c>
      <c r="N899" s="61">
        <f>I899*0.04</f>
        <v>257.71262191195427</v>
      </c>
      <c r="O899" s="58">
        <f>I899+N899</f>
        <v>6700.5281697108112</v>
      </c>
      <c r="P899" s="61">
        <f>O899*2</f>
        <v>13401.056339421622</v>
      </c>
      <c r="Q899" s="61">
        <f>P899*0.75</f>
        <v>10050.792254566217</v>
      </c>
      <c r="R899" s="61">
        <f>P899*0.25</f>
        <v>3350.2640848554056</v>
      </c>
      <c r="S899" s="61">
        <f>(P899/30)</f>
        <v>446.70187798072072</v>
      </c>
      <c r="T899" s="58">
        <f t="shared" si="1029"/>
        <v>512.76908573406934</v>
      </c>
      <c r="U899" s="61">
        <f>O899*0.75</f>
        <v>5025.3961272831084</v>
      </c>
      <c r="V899" s="58">
        <f>O899*0.25</f>
        <v>1675.1320424277028</v>
      </c>
      <c r="W899" s="101">
        <v>2.5000000000000001E-2</v>
      </c>
      <c r="X899" s="63">
        <f>P899*W899</f>
        <v>335.02640848554057</v>
      </c>
      <c r="Y899" s="61">
        <v>780.5654612968043</v>
      </c>
      <c r="Z899" s="61">
        <v>0</v>
      </c>
      <c r="AA899" s="61">
        <f>(S899*45)/12</f>
        <v>1675.1320424277028</v>
      </c>
      <c r="AB899" s="61">
        <f>(S899*10)*(0.45*2)/12</f>
        <v>335.02640848554057</v>
      </c>
      <c r="AC899" s="61">
        <v>2190.8590438818092</v>
      </c>
      <c r="AD899" s="61">
        <v>1343.9934121632825</v>
      </c>
      <c r="AE899" s="61">
        <v>794.79208288780751</v>
      </c>
      <c r="AF899" s="61">
        <v>0</v>
      </c>
      <c r="AG899" s="61">
        <f>(P899+AA899+AB899)*0.03</f>
        <v>462.33644371004601</v>
      </c>
      <c r="AH899" s="64"/>
      <c r="AI899" s="64"/>
      <c r="AJ899" s="67">
        <v>4</v>
      </c>
      <c r="AK899" s="73" t="s">
        <v>66</v>
      </c>
      <c r="AL899" s="67">
        <v>20011</v>
      </c>
      <c r="AM899" s="73" t="s">
        <v>1082</v>
      </c>
      <c r="AN899" s="73" t="s">
        <v>1083</v>
      </c>
      <c r="AO899" s="138">
        <f>Q899*12</f>
        <v>120609.50705479461</v>
      </c>
      <c r="AP899" s="65">
        <f>R899*12</f>
        <v>40203.169018264867</v>
      </c>
      <c r="AQ899" s="65">
        <f t="shared" ref="AQ899:AZ900" si="1058">X899*12</f>
        <v>4020.3169018264871</v>
      </c>
      <c r="AR899" s="65">
        <f t="shared" si="1058"/>
        <v>9366.7855355616521</v>
      </c>
      <c r="AS899" s="65">
        <f t="shared" si="1058"/>
        <v>0</v>
      </c>
      <c r="AT899" s="65">
        <f t="shared" si="1058"/>
        <v>20101.584509132434</v>
      </c>
      <c r="AU899" s="65">
        <f t="shared" si="1058"/>
        <v>4020.3169018264871</v>
      </c>
      <c r="AV899" s="65">
        <f t="shared" si="1058"/>
        <v>26290.30852658171</v>
      </c>
      <c r="AW899" s="65">
        <f t="shared" si="1058"/>
        <v>16127.920945959391</v>
      </c>
      <c r="AX899" s="65">
        <f t="shared" si="1058"/>
        <v>9537.5049946536892</v>
      </c>
      <c r="AY899" s="65">
        <f t="shared" si="1058"/>
        <v>0</v>
      </c>
      <c r="AZ899" s="65">
        <f t="shared" si="1058"/>
        <v>5548.0373245205519</v>
      </c>
      <c r="BB899" s="64"/>
      <c r="BC899" s="66"/>
      <c r="BD899" s="66"/>
      <c r="BE899" s="66"/>
    </row>
    <row r="900" spans="1:177" ht="21" customHeight="1" x14ac:dyDescent="0.2">
      <c r="B900" s="67">
        <v>5</v>
      </c>
      <c r="C900" s="73" t="s">
        <v>66</v>
      </c>
      <c r="D900" s="67">
        <v>16430</v>
      </c>
      <c r="E900" s="73" t="s">
        <v>1084</v>
      </c>
      <c r="F900" s="112" t="s">
        <v>1085</v>
      </c>
      <c r="G900" s="56">
        <v>42248</v>
      </c>
      <c r="H900" s="56" t="str">
        <f t="shared" si="1057"/>
        <v>9 AÑOS</v>
      </c>
      <c r="I900" s="57">
        <v>5806.8899654240831</v>
      </c>
      <c r="J900" s="58">
        <v>6700.53</v>
      </c>
      <c r="K900" s="108">
        <f>J900-I900</f>
        <v>893.64003457591662</v>
      </c>
      <c r="L900" s="109">
        <f>K900*100/I900</f>
        <v>15.389305461217797</v>
      </c>
      <c r="M900" s="60">
        <v>1.539E-3</v>
      </c>
      <c r="N900" s="61">
        <f>I900*0.1539</f>
        <v>893.68036567876641</v>
      </c>
      <c r="O900" s="58">
        <f>I900+N900</f>
        <v>6700.5703311028492</v>
      </c>
      <c r="P900" s="61">
        <f>O900*2</f>
        <v>13401.140662205698</v>
      </c>
      <c r="Q900" s="61">
        <f>P900*0.75</f>
        <v>10050.855496654274</v>
      </c>
      <c r="R900" s="61">
        <f>P900*0.25</f>
        <v>3350.2851655514246</v>
      </c>
      <c r="S900" s="61">
        <f>(P900/30)</f>
        <v>446.70468874018997</v>
      </c>
      <c r="T900" s="58">
        <f t="shared" si="1029"/>
        <v>512.77231220486408</v>
      </c>
      <c r="U900" s="61">
        <f>O900*0.75</f>
        <v>5025.4277483271371</v>
      </c>
      <c r="V900" s="58">
        <f>O900*0.25</f>
        <v>1675.1425827757123</v>
      </c>
      <c r="W900" s="101">
        <v>2.5000000000000001E-2</v>
      </c>
      <c r="X900" s="63">
        <f>P900*W900</f>
        <v>335.02851655514246</v>
      </c>
      <c r="Y900" s="61">
        <v>780.57</v>
      </c>
      <c r="Z900" s="61">
        <v>0</v>
      </c>
      <c r="AA900" s="61">
        <f>(S900*45)/12</f>
        <v>1675.1425827757123</v>
      </c>
      <c r="AB900" s="61">
        <f>(S900*10)*(0.45*2)/12</f>
        <v>335.02851655514252</v>
      </c>
      <c r="AC900" s="61">
        <v>2190.8693786397766</v>
      </c>
      <c r="AD900" s="61">
        <v>1344.0018689045592</v>
      </c>
      <c r="AE900" s="61">
        <v>794.79708391753934</v>
      </c>
      <c r="AF900" s="61">
        <v>0</v>
      </c>
      <c r="AG900" s="61">
        <f>(P900+AA900+AB900)*0.03</f>
        <v>462.33935284609657</v>
      </c>
      <c r="AH900" s="64"/>
      <c r="AI900" s="64"/>
      <c r="AJ900" s="67">
        <v>5</v>
      </c>
      <c r="AK900" s="73" t="s">
        <v>66</v>
      </c>
      <c r="AL900" s="67">
        <v>16430</v>
      </c>
      <c r="AM900" s="73" t="s">
        <v>1084</v>
      </c>
      <c r="AN900" s="112" t="s">
        <v>1085</v>
      </c>
      <c r="AO900" s="138">
        <f>Q900*12</f>
        <v>120610.2659598513</v>
      </c>
      <c r="AP900" s="65">
        <f>R900*12</f>
        <v>40203.421986617097</v>
      </c>
      <c r="AQ900" s="65">
        <f t="shared" si="1058"/>
        <v>4020.3421986617095</v>
      </c>
      <c r="AR900" s="65">
        <f t="shared" si="1058"/>
        <v>9366.84</v>
      </c>
      <c r="AS900" s="65">
        <f t="shared" si="1058"/>
        <v>0</v>
      </c>
      <c r="AT900" s="65">
        <f t="shared" si="1058"/>
        <v>20101.710993308548</v>
      </c>
      <c r="AU900" s="65">
        <f t="shared" si="1058"/>
        <v>4020.3421986617104</v>
      </c>
      <c r="AV900" s="65">
        <f t="shared" si="1058"/>
        <v>26290.432543677322</v>
      </c>
      <c r="AW900" s="65">
        <f t="shared" si="1058"/>
        <v>16128.02242685471</v>
      </c>
      <c r="AX900" s="65">
        <f t="shared" si="1058"/>
        <v>9537.5650070104712</v>
      </c>
      <c r="AY900" s="65">
        <f t="shared" si="1058"/>
        <v>0</v>
      </c>
      <c r="AZ900" s="65">
        <f t="shared" si="1058"/>
        <v>5548.0722341531591</v>
      </c>
      <c r="BB900" s="64"/>
      <c r="BC900" s="66"/>
      <c r="BD900" s="66"/>
      <c r="BE900" s="66"/>
    </row>
    <row r="901" spans="1:177" ht="21" customHeight="1" x14ac:dyDescent="0.2">
      <c r="B901" s="67">
        <v>6</v>
      </c>
      <c r="C901" s="73" t="s">
        <v>66</v>
      </c>
      <c r="D901" s="67">
        <v>13383</v>
      </c>
      <c r="E901" s="72" t="s">
        <v>1086</v>
      </c>
      <c r="F901" s="112" t="s">
        <v>1087</v>
      </c>
      <c r="G901" s="123">
        <v>44866</v>
      </c>
      <c r="H901" s="56" t="str">
        <f xml:space="preserve"> CONCATENATE(DATEDIF(G901,H$5,"Y")," AÑOS")</f>
        <v>2 AÑOS</v>
      </c>
      <c r="I901" s="57">
        <v>4056.5462655727124</v>
      </c>
      <c r="J901" s="58">
        <v>5090.2700000000004</v>
      </c>
      <c r="K901" s="108">
        <f>J901-I901</f>
        <v>1033.723734427288</v>
      </c>
      <c r="L901" s="109">
        <f>K901*100/I901</f>
        <v>25.482853312936257</v>
      </c>
      <c r="M901" s="60">
        <v>2.5479999999999999E-3</v>
      </c>
      <c r="N901" s="61">
        <f>I901*0.2548</f>
        <v>1033.6079884679273</v>
      </c>
      <c r="O901" s="58">
        <f>I901+N901</f>
        <v>5090.1542540406399</v>
      </c>
      <c r="P901" s="61">
        <f>O901*2</f>
        <v>10180.30850808128</v>
      </c>
      <c r="Q901" s="61">
        <f>P901*0.75</f>
        <v>7635.2313810609594</v>
      </c>
      <c r="R901" s="61">
        <f>P901*0.25</f>
        <v>2545.0771270203199</v>
      </c>
      <c r="S901" s="61">
        <f>(P901/30)</f>
        <v>339.34361693604268</v>
      </c>
      <c r="T901" s="58">
        <f>S901*1.1479</f>
        <v>389.53253788088335</v>
      </c>
      <c r="U901" s="61">
        <f>O901*0.75</f>
        <v>3817.6156905304797</v>
      </c>
      <c r="V901" s="58">
        <f>O901*0.25</f>
        <v>1272.53856351016</v>
      </c>
      <c r="W901" s="101">
        <v>0</v>
      </c>
      <c r="X901" s="63">
        <f>P901*W901</f>
        <v>0</v>
      </c>
      <c r="Y901" s="61">
        <v>517.77</v>
      </c>
      <c r="Z901" s="61">
        <v>0</v>
      </c>
      <c r="AA901" s="61">
        <f>(S901*45)/12</f>
        <v>1272.53856351016</v>
      </c>
      <c r="AB901" s="61">
        <f>(S901*10)*(0.45*2)/12</f>
        <v>254.50771270203202</v>
      </c>
      <c r="AC901" s="61">
        <v>1796.1455868399037</v>
      </c>
      <c r="AD901" s="61">
        <v>966.66570853242888</v>
      </c>
      <c r="AE901" s="61">
        <v>603.78869989533348</v>
      </c>
      <c r="AF901" s="61">
        <v>0</v>
      </c>
      <c r="AG901" s="61">
        <f>(P901+AA901+AB901)*0.03</f>
        <v>351.22064352880415</v>
      </c>
      <c r="AH901" s="64"/>
      <c r="AI901" s="64"/>
      <c r="AJ901" s="67">
        <v>6</v>
      </c>
      <c r="AK901" s="73" t="s">
        <v>66</v>
      </c>
      <c r="AL901" s="67">
        <v>13383</v>
      </c>
      <c r="AM901" s="72" t="s">
        <v>1086</v>
      </c>
      <c r="AN901" s="112" t="s">
        <v>1087</v>
      </c>
      <c r="AO901" s="138">
        <f>Q901*10</f>
        <v>76352.313810609601</v>
      </c>
      <c r="AP901" s="65">
        <f>R901*10</f>
        <v>25450.7712702032</v>
      </c>
      <c r="AQ901" s="65">
        <f t="shared" ref="AQ901:AZ901" si="1059">X901*10</f>
        <v>0</v>
      </c>
      <c r="AR901" s="65">
        <f t="shared" si="1059"/>
        <v>5177.7</v>
      </c>
      <c r="AS901" s="65">
        <f t="shared" si="1059"/>
        <v>0</v>
      </c>
      <c r="AT901" s="65">
        <f t="shared" si="1059"/>
        <v>12725.3856351016</v>
      </c>
      <c r="AU901" s="65">
        <f t="shared" si="1059"/>
        <v>2545.0771270203204</v>
      </c>
      <c r="AV901" s="65">
        <f t="shared" si="1059"/>
        <v>17961.455868399036</v>
      </c>
      <c r="AW901" s="65">
        <f t="shared" si="1059"/>
        <v>9666.6570853242883</v>
      </c>
      <c r="AX901" s="65">
        <f t="shared" si="1059"/>
        <v>6037.886998953335</v>
      </c>
      <c r="AY901" s="65">
        <f t="shared" si="1059"/>
        <v>0</v>
      </c>
      <c r="AZ901" s="65">
        <f t="shared" si="1059"/>
        <v>3512.2064352880416</v>
      </c>
      <c r="BB901" s="64"/>
      <c r="BC901" s="66"/>
      <c r="BD901" s="66"/>
      <c r="BE901" s="66"/>
    </row>
    <row r="902" spans="1:177" ht="21" customHeight="1" x14ac:dyDescent="0.2">
      <c r="B902" s="67">
        <v>7</v>
      </c>
      <c r="C902" s="73" t="s">
        <v>66</v>
      </c>
      <c r="D902" s="67">
        <v>20017</v>
      </c>
      <c r="E902" s="73" t="s">
        <v>1088</v>
      </c>
      <c r="F902" s="79" t="s">
        <v>1087</v>
      </c>
      <c r="G902" s="55">
        <v>43488</v>
      </c>
      <c r="H902" s="56" t="str">
        <f t="shared" si="1057"/>
        <v>5 AÑOS</v>
      </c>
      <c r="I902" s="57">
        <v>4894.4866299329215</v>
      </c>
      <c r="J902" s="58"/>
      <c r="K902" s="58"/>
      <c r="L902" s="59"/>
      <c r="M902" s="60">
        <v>4.0000000000000002E-4</v>
      </c>
      <c r="N902" s="61">
        <f>I902*0.04</f>
        <v>195.77946519731685</v>
      </c>
      <c r="O902" s="58">
        <f>I902+N902</f>
        <v>5090.2660951302387</v>
      </c>
      <c r="P902" s="61">
        <f>O902*2</f>
        <v>10180.532190260477</v>
      </c>
      <c r="Q902" s="61">
        <f>P902*0.75</f>
        <v>7635.399142695358</v>
      </c>
      <c r="R902" s="61">
        <f>P902*0.25</f>
        <v>2545.1330475651193</v>
      </c>
      <c r="S902" s="61">
        <f>(P902/30)</f>
        <v>339.35107300868259</v>
      </c>
      <c r="T902" s="58">
        <f t="shared" si="1029"/>
        <v>389.54109670666674</v>
      </c>
      <c r="U902" s="61">
        <f>O902*0.75</f>
        <v>3817.699571347679</v>
      </c>
      <c r="V902" s="58">
        <f>O902*0.25</f>
        <v>1272.5665237825597</v>
      </c>
      <c r="W902" s="101">
        <v>2.5000000000000001E-2</v>
      </c>
      <c r="X902" s="63">
        <f>P902*W902</f>
        <v>254.51330475651196</v>
      </c>
      <c r="Y902" s="61">
        <v>517.77069072525489</v>
      </c>
      <c r="Z902" s="61">
        <v>0</v>
      </c>
      <c r="AA902" s="61">
        <f>(S902*45)/12</f>
        <v>1272.5665237825597</v>
      </c>
      <c r="AB902" s="61">
        <f>(S902*10)*(0.45*2)/12</f>
        <v>254.51330475651196</v>
      </c>
      <c r="AC902" s="61">
        <v>1796.1455868399037</v>
      </c>
      <c r="AD902" s="61">
        <v>966.66570853242888</v>
      </c>
      <c r="AE902" s="61">
        <v>603.78869989533348</v>
      </c>
      <c r="AF902" s="61">
        <v>0</v>
      </c>
      <c r="AG902" s="61">
        <f>(P902+AA902+AB902)*0.03</f>
        <v>351.22836056398648</v>
      </c>
      <c r="AH902" s="64"/>
      <c r="AI902" s="64"/>
      <c r="AJ902" s="67">
        <v>7</v>
      </c>
      <c r="AK902" s="73" t="s">
        <v>66</v>
      </c>
      <c r="AL902" s="67">
        <v>20017</v>
      </c>
      <c r="AM902" s="73" t="s">
        <v>1088</v>
      </c>
      <c r="AN902" s="79" t="s">
        <v>1087</v>
      </c>
      <c r="AO902" s="138">
        <f>Q902*12</f>
        <v>91624.789712344296</v>
      </c>
      <c r="AP902" s="65">
        <f>R902*12</f>
        <v>30541.596570781432</v>
      </c>
      <c r="AQ902" s="65">
        <f t="shared" ref="AQ902:AZ902" si="1060">X902*12</f>
        <v>3054.1596570781435</v>
      </c>
      <c r="AR902" s="65">
        <f t="shared" si="1060"/>
        <v>6213.2482887030583</v>
      </c>
      <c r="AS902" s="65">
        <f t="shared" si="1060"/>
        <v>0</v>
      </c>
      <c r="AT902" s="65">
        <f t="shared" si="1060"/>
        <v>15270.798285390716</v>
      </c>
      <c r="AU902" s="65">
        <f t="shared" si="1060"/>
        <v>3054.1596570781435</v>
      </c>
      <c r="AV902" s="65">
        <f t="shared" si="1060"/>
        <v>21553.747042078845</v>
      </c>
      <c r="AW902" s="65">
        <f t="shared" si="1060"/>
        <v>11599.988502389147</v>
      </c>
      <c r="AX902" s="65">
        <f t="shared" si="1060"/>
        <v>7245.4643987440013</v>
      </c>
      <c r="AY902" s="65">
        <f t="shared" si="1060"/>
        <v>0</v>
      </c>
      <c r="AZ902" s="65">
        <f t="shared" si="1060"/>
        <v>4214.7403267678383</v>
      </c>
      <c r="BB902" s="64"/>
      <c r="BC902" s="66"/>
      <c r="BD902" s="66"/>
      <c r="BE902" s="66"/>
    </row>
    <row r="903" spans="1:177" s="364" customFormat="1" ht="21" customHeight="1" x14ac:dyDescent="0.2">
      <c r="B903" s="365">
        <v>8</v>
      </c>
      <c r="C903" s="372" t="s">
        <v>66</v>
      </c>
      <c r="D903" s="365">
        <v>11184</v>
      </c>
      <c r="E903" s="371" t="s">
        <v>1089</v>
      </c>
      <c r="F903" s="421" t="s">
        <v>1090</v>
      </c>
      <c r="G903" s="363">
        <v>44501</v>
      </c>
      <c r="H903" s="56" t="str">
        <f xml:space="preserve"> CONCATENATE(DATEDIF(G903,H$5,"Y")," AÑOS")</f>
        <v>3 AÑOS</v>
      </c>
      <c r="I903" s="57">
        <v>4913.3987646859359</v>
      </c>
      <c r="J903" s="58"/>
      <c r="K903" s="58"/>
      <c r="L903" s="59"/>
      <c r="M903" s="60">
        <v>4.0000000000000002E-4</v>
      </c>
      <c r="N903" s="61">
        <f>I903*0.04</f>
        <v>196.53595058743744</v>
      </c>
      <c r="O903" s="58">
        <f>I903+N903</f>
        <v>5109.9347152733735</v>
      </c>
      <c r="P903" s="61">
        <f>O903*2</f>
        <v>10219.869430546747</v>
      </c>
      <c r="Q903" s="61">
        <f>P903*0.75</f>
        <v>7664.9020729100603</v>
      </c>
      <c r="R903" s="61">
        <f>P903*0.25</f>
        <v>2554.9673576366868</v>
      </c>
      <c r="S903" s="61">
        <f>(P903/30)</f>
        <v>340.66231435155822</v>
      </c>
      <c r="T903" s="58">
        <f>S903*1.1479</f>
        <v>391.04627064415365</v>
      </c>
      <c r="U903" s="61">
        <f>O903*0.75</f>
        <v>3832.4510364550301</v>
      </c>
      <c r="V903" s="58">
        <f>O903*0.25</f>
        <v>1277.4836788183434</v>
      </c>
      <c r="W903" s="238">
        <v>0</v>
      </c>
      <c r="X903" s="63">
        <f>P903*W903</f>
        <v>0</v>
      </c>
      <c r="Y903" s="61">
        <v>520.98060953261449</v>
      </c>
      <c r="Z903" s="61">
        <v>0</v>
      </c>
      <c r="AA903" s="61">
        <f>(S903*45)/12</f>
        <v>1277.4836788183434</v>
      </c>
      <c r="AB903" s="61">
        <f>(S903*10)*(0.45*2)/12</f>
        <v>255.49673576366868</v>
      </c>
      <c r="AC903" s="61">
        <v>1800.9668325082293</v>
      </c>
      <c r="AD903" s="61">
        <v>970.40087291699933</v>
      </c>
      <c r="AE903" s="61">
        <v>606.12171949843821</v>
      </c>
      <c r="AF903" s="61">
        <v>0</v>
      </c>
      <c r="AG903" s="61">
        <f>(P903+AA903+AB903)*0.03</f>
        <v>352.58549535386277</v>
      </c>
      <c r="AH903" s="64"/>
      <c r="AI903" s="64"/>
      <c r="AJ903" s="365">
        <v>8</v>
      </c>
      <c r="AK903" s="372" t="s">
        <v>66</v>
      </c>
      <c r="AL903" s="365">
        <v>11184</v>
      </c>
      <c r="AM903" s="371" t="s">
        <v>1089</v>
      </c>
      <c r="AN903" s="421" t="s">
        <v>1090</v>
      </c>
      <c r="AO903" s="368">
        <f t="shared" ref="AO903:AP903" si="1061">Q903*3</f>
        <v>22994.706218730182</v>
      </c>
      <c r="AP903" s="368">
        <f t="shared" si="1061"/>
        <v>7664.9020729100603</v>
      </c>
      <c r="AQ903" s="368">
        <f t="shared" ref="AQ903:AZ903" si="1062">X903*3</f>
        <v>0</v>
      </c>
      <c r="AR903" s="368">
        <f t="shared" si="1062"/>
        <v>1562.9418285978436</v>
      </c>
      <c r="AS903" s="368">
        <f t="shared" si="1062"/>
        <v>0</v>
      </c>
      <c r="AT903" s="368">
        <f t="shared" si="1062"/>
        <v>3832.4510364550301</v>
      </c>
      <c r="AU903" s="368">
        <f t="shared" si="1062"/>
        <v>766.49020729100607</v>
      </c>
      <c r="AV903" s="368">
        <f t="shared" si="1062"/>
        <v>5402.900497524688</v>
      </c>
      <c r="AW903" s="368">
        <f t="shared" si="1062"/>
        <v>2911.2026187509982</v>
      </c>
      <c r="AX903" s="368">
        <f t="shared" si="1062"/>
        <v>1818.3651584953145</v>
      </c>
      <c r="AY903" s="368">
        <f t="shared" si="1062"/>
        <v>0</v>
      </c>
      <c r="AZ903" s="368">
        <f t="shared" si="1062"/>
        <v>1057.7564860615882</v>
      </c>
      <c r="BB903" s="64"/>
      <c r="BC903" s="66"/>
      <c r="BD903" s="66"/>
      <c r="BE903" s="66"/>
    </row>
    <row r="904" spans="1:177" s="96" customFormat="1" ht="21" customHeight="1" x14ac:dyDescent="0.2">
      <c r="A904" s="50"/>
      <c r="B904" s="455" t="s">
        <v>99</v>
      </c>
      <c r="C904" s="456"/>
      <c r="D904" s="456"/>
      <c r="E904" s="143">
        <v>8</v>
      </c>
      <c r="F904" s="166" t="s">
        <v>100</v>
      </c>
      <c r="G904" s="29"/>
      <c r="H904" s="89"/>
      <c r="I904" s="91">
        <f t="shared" ref="I904:AG904" si="1063">SUM(I899:I903)</f>
        <v>26114.13717341451</v>
      </c>
      <c r="J904" s="91">
        <f t="shared" si="1063"/>
        <v>11790.8</v>
      </c>
      <c r="K904" s="91">
        <f t="shared" si="1063"/>
        <v>1927.3637690032047</v>
      </c>
      <c r="L904" s="91">
        <f t="shared" si="1063"/>
        <v>40.872158774154052</v>
      </c>
      <c r="M904" s="91">
        <f t="shared" si="1063"/>
        <v>5.287E-3</v>
      </c>
      <c r="N904" s="91">
        <f t="shared" si="1063"/>
        <v>2577.3163918434025</v>
      </c>
      <c r="O904" s="91">
        <f t="shared" si="1063"/>
        <v>28691.453565257914</v>
      </c>
      <c r="P904" s="91">
        <f t="shared" si="1063"/>
        <v>57382.907130515829</v>
      </c>
      <c r="Q904" s="91">
        <f t="shared" si="1063"/>
        <v>43037.180347886868</v>
      </c>
      <c r="R904" s="91">
        <f t="shared" si="1063"/>
        <v>14345.726782628957</v>
      </c>
      <c r="S904" s="91">
        <f t="shared" si="1063"/>
        <v>1912.7635710171942</v>
      </c>
      <c r="T904" s="91">
        <f t="shared" si="1063"/>
        <v>2195.661303170637</v>
      </c>
      <c r="U904" s="91">
        <f t="shared" si="1063"/>
        <v>21518.590173943434</v>
      </c>
      <c r="V904" s="91">
        <f t="shared" si="1063"/>
        <v>7172.8633913144786</v>
      </c>
      <c r="W904" s="91">
        <f t="shared" si="1063"/>
        <v>7.5000000000000011E-2</v>
      </c>
      <c r="X904" s="91">
        <f t="shared" si="1063"/>
        <v>924.56822979719493</v>
      </c>
      <c r="Y904" s="91">
        <f t="shared" si="1063"/>
        <v>3117.6567615546737</v>
      </c>
      <c r="Z904" s="91">
        <f t="shared" si="1063"/>
        <v>0</v>
      </c>
      <c r="AA904" s="91">
        <f t="shared" si="1063"/>
        <v>7172.8633913144786</v>
      </c>
      <c r="AB904" s="91">
        <f t="shared" si="1063"/>
        <v>1434.5726782628958</v>
      </c>
      <c r="AC904" s="91">
        <f t="shared" si="1063"/>
        <v>9774.9864287096225</v>
      </c>
      <c r="AD904" s="91">
        <f t="shared" si="1063"/>
        <v>5591.7275710496979</v>
      </c>
      <c r="AE904" s="91">
        <f t="shared" si="1063"/>
        <v>3403.2882860944524</v>
      </c>
      <c r="AF904" s="91">
        <f t="shared" si="1063"/>
        <v>0</v>
      </c>
      <c r="AG904" s="91">
        <f t="shared" si="1063"/>
        <v>1979.710296002796</v>
      </c>
      <c r="AH904" s="92"/>
      <c r="AI904" s="92"/>
      <c r="AJ904" s="455" t="s">
        <v>99</v>
      </c>
      <c r="AK904" s="456"/>
      <c r="AL904" s="456"/>
      <c r="AM904" s="143">
        <v>8</v>
      </c>
      <c r="AN904" s="166" t="s">
        <v>100</v>
      </c>
      <c r="AO904" s="144">
        <f t="shared" ref="AO904:AZ904" si="1064">SUM(AO899:AO903)</f>
        <v>432191.58275633003</v>
      </c>
      <c r="AP904" s="144">
        <f t="shared" si="1064"/>
        <v>144063.86091877669</v>
      </c>
      <c r="AQ904" s="144">
        <f t="shared" si="1064"/>
        <v>11094.81875756634</v>
      </c>
      <c r="AR904" s="144">
        <f t="shared" si="1064"/>
        <v>31687.515652862556</v>
      </c>
      <c r="AS904" s="144">
        <f t="shared" si="1064"/>
        <v>0</v>
      </c>
      <c r="AT904" s="144">
        <f t="shared" si="1064"/>
        <v>72031.930459388343</v>
      </c>
      <c r="AU904" s="144">
        <f t="shared" si="1064"/>
        <v>14406.386091877668</v>
      </c>
      <c r="AV904" s="144">
        <f t="shared" si="1064"/>
        <v>97498.844478261599</v>
      </c>
      <c r="AW904" s="144">
        <f t="shared" si="1064"/>
        <v>56433.791579278535</v>
      </c>
      <c r="AX904" s="144">
        <f t="shared" si="1064"/>
        <v>34176.786557856809</v>
      </c>
      <c r="AY904" s="144">
        <f t="shared" si="1064"/>
        <v>0</v>
      </c>
      <c r="AZ904" s="144">
        <f t="shared" si="1064"/>
        <v>19880.812806791178</v>
      </c>
      <c r="BA904" s="94"/>
      <c r="BB904" s="92"/>
      <c r="BC904" s="95"/>
      <c r="BD904" s="95"/>
      <c r="BE904" s="95"/>
      <c r="BF904" s="50"/>
      <c r="BG904" s="50"/>
      <c r="BH904" s="50"/>
      <c r="BI904" s="50"/>
      <c r="BJ904" s="50"/>
      <c r="BK904" s="50"/>
      <c r="BL904" s="50"/>
      <c r="BM904" s="50"/>
      <c r="BN904" s="50"/>
      <c r="BO904" s="50"/>
      <c r="BP904" s="50"/>
      <c r="BQ904" s="50"/>
      <c r="BR904" s="50"/>
      <c r="BS904" s="50"/>
      <c r="BT904" s="50"/>
      <c r="BU904" s="50"/>
      <c r="BV904" s="50"/>
      <c r="BW904" s="50"/>
      <c r="BX904" s="50"/>
      <c r="BY904" s="50"/>
      <c r="BZ904" s="50"/>
      <c r="CA904" s="50"/>
      <c r="CB904" s="50"/>
      <c r="CC904" s="50"/>
      <c r="CD904" s="50"/>
      <c r="CE904" s="50"/>
      <c r="CF904" s="50"/>
      <c r="CG904" s="50"/>
      <c r="CH904" s="50"/>
      <c r="CI904" s="50"/>
      <c r="CJ904" s="50"/>
      <c r="CK904" s="50"/>
      <c r="CL904" s="50"/>
      <c r="CM904" s="50"/>
      <c r="CN904" s="50"/>
      <c r="CO904" s="50"/>
      <c r="CP904" s="50"/>
      <c r="CQ904" s="50"/>
      <c r="CR904" s="50"/>
      <c r="CS904" s="50"/>
      <c r="CT904" s="50"/>
      <c r="CU904" s="50"/>
      <c r="CV904" s="50"/>
      <c r="CW904" s="50"/>
      <c r="CX904" s="50"/>
      <c r="CY904" s="50"/>
      <c r="CZ904" s="50"/>
      <c r="DA904" s="50"/>
      <c r="DB904" s="50"/>
      <c r="DC904" s="50"/>
      <c r="DD904" s="50"/>
      <c r="DE904" s="50"/>
      <c r="DF904" s="50"/>
      <c r="DG904" s="50"/>
      <c r="DH904" s="50"/>
      <c r="DI904" s="50"/>
      <c r="DJ904" s="50"/>
      <c r="DK904" s="50"/>
      <c r="DL904" s="50"/>
      <c r="DM904" s="50"/>
      <c r="DN904" s="50"/>
      <c r="DO904" s="50"/>
      <c r="DP904" s="50"/>
      <c r="DQ904" s="50"/>
      <c r="DR904" s="50"/>
      <c r="DS904" s="50"/>
      <c r="DT904" s="50"/>
      <c r="DU904" s="50"/>
      <c r="DV904" s="50"/>
      <c r="DW904" s="50"/>
      <c r="DX904" s="50"/>
      <c r="DY904" s="50"/>
      <c r="DZ904" s="50"/>
      <c r="EA904" s="50"/>
      <c r="EB904" s="50"/>
      <c r="EC904" s="50"/>
      <c r="ED904" s="50"/>
      <c r="EE904" s="50"/>
      <c r="EF904" s="50"/>
      <c r="EG904" s="50"/>
      <c r="EH904" s="50"/>
      <c r="EI904" s="50"/>
      <c r="EJ904" s="50"/>
      <c r="EK904" s="50"/>
      <c r="EL904" s="50"/>
      <c r="EM904" s="50"/>
      <c r="EN904" s="50"/>
      <c r="EO904" s="50"/>
      <c r="EP904" s="50"/>
      <c r="EQ904" s="50"/>
      <c r="ER904" s="50"/>
      <c r="ES904" s="50"/>
      <c r="ET904" s="50"/>
      <c r="EU904" s="50"/>
      <c r="EV904" s="50"/>
      <c r="EW904" s="50"/>
      <c r="EX904" s="50"/>
      <c r="EY904" s="50"/>
      <c r="EZ904" s="50"/>
      <c r="FA904" s="50"/>
      <c r="FB904" s="50"/>
      <c r="FC904" s="50"/>
      <c r="FD904" s="50"/>
      <c r="FE904" s="50"/>
      <c r="FF904" s="50"/>
      <c r="FG904" s="50"/>
      <c r="FH904" s="50"/>
      <c r="FI904" s="50"/>
      <c r="FJ904" s="50"/>
      <c r="FK904" s="50"/>
      <c r="FL904" s="50"/>
      <c r="FM904" s="50"/>
      <c r="FN904" s="50"/>
      <c r="FO904" s="50"/>
      <c r="FP904" s="50"/>
      <c r="FQ904" s="50"/>
      <c r="FR904" s="50"/>
      <c r="FS904" s="50"/>
      <c r="FT904" s="50"/>
      <c r="FU904" s="50"/>
    </row>
    <row r="905" spans="1:177" ht="21" customHeight="1" x14ac:dyDescent="0.2">
      <c r="B905" s="457" t="s">
        <v>101</v>
      </c>
      <c r="C905" s="458"/>
      <c r="D905" s="458"/>
      <c r="E905" s="76">
        <v>8</v>
      </c>
      <c r="F905" s="122" t="s">
        <v>1091</v>
      </c>
      <c r="G905" s="147"/>
      <c r="H905" s="146"/>
      <c r="I905" s="57">
        <f t="shared" ref="I905:AG905" si="1065">I898+I904</f>
        <v>55267.485610159594</v>
      </c>
      <c r="J905" s="57">
        <f t="shared" si="1065"/>
        <v>17775.11</v>
      </c>
      <c r="K905" s="57">
        <f t="shared" si="1065"/>
        <v>2998.296800861357</v>
      </c>
      <c r="L905" s="74">
        <f t="shared" si="1065"/>
        <v>62.668431252371008</v>
      </c>
      <c r="M905" s="57">
        <f t="shared" si="1065"/>
        <v>8.267E-3</v>
      </c>
      <c r="N905" s="57">
        <f t="shared" si="1065"/>
        <v>4617.5400919456406</v>
      </c>
      <c r="O905" s="57">
        <f t="shared" si="1065"/>
        <v>59885.025702105238</v>
      </c>
      <c r="P905" s="57">
        <f t="shared" si="1065"/>
        <v>119770.05140421048</v>
      </c>
      <c r="Q905" s="57">
        <f t="shared" si="1065"/>
        <v>89827.53855315785</v>
      </c>
      <c r="R905" s="57">
        <f t="shared" si="1065"/>
        <v>29942.512851052619</v>
      </c>
      <c r="S905" s="57">
        <f t="shared" si="1065"/>
        <v>3992.3350468070157</v>
      </c>
      <c r="T905" s="57">
        <f t="shared" si="1065"/>
        <v>4582.8014002297732</v>
      </c>
      <c r="U905" s="81">
        <f t="shared" si="1065"/>
        <v>44913.769276578925</v>
      </c>
      <c r="V905" s="57">
        <f t="shared" si="1065"/>
        <v>14971.25642552631</v>
      </c>
      <c r="W905" s="57">
        <f t="shared" si="1065"/>
        <v>7.5000000000000011E-2</v>
      </c>
      <c r="X905" s="57">
        <f t="shared" si="1065"/>
        <v>924.56822979719493</v>
      </c>
      <c r="Y905" s="57">
        <f t="shared" si="1065"/>
        <v>8566.2338464367713</v>
      </c>
      <c r="Z905" s="57">
        <f t="shared" si="1065"/>
        <v>0</v>
      </c>
      <c r="AA905" s="57">
        <f t="shared" si="1065"/>
        <v>14971.25642552631</v>
      </c>
      <c r="AB905" s="57">
        <f t="shared" si="1065"/>
        <v>2994.2512851052625</v>
      </c>
      <c r="AC905" s="57">
        <f t="shared" si="1065"/>
        <v>19066.473016843229</v>
      </c>
      <c r="AD905" s="57">
        <f t="shared" si="1065"/>
        <v>11848.541122446546</v>
      </c>
      <c r="AE905" s="57">
        <f t="shared" si="1065"/>
        <v>7103.3554365361142</v>
      </c>
      <c r="AF905" s="57">
        <f t="shared" si="1065"/>
        <v>0</v>
      </c>
      <c r="AG905" s="57">
        <f t="shared" si="1065"/>
        <v>4132.0667734452618</v>
      </c>
      <c r="AH905" s="92">
        <f>Q905+R905-Y905+Z905+X905+AA905+AB905+AC905+AD905+AE905+AF905+AG905</f>
        <v>172244.32984747359</v>
      </c>
      <c r="AI905" s="92">
        <f>AH905*12</f>
        <v>2066931.9581696831</v>
      </c>
      <c r="AJ905" s="457" t="s">
        <v>101</v>
      </c>
      <c r="AK905" s="458"/>
      <c r="AL905" s="458"/>
      <c r="AM905" s="76">
        <v>8</v>
      </c>
      <c r="AN905" s="122" t="s">
        <v>1091</v>
      </c>
      <c r="AO905" s="151">
        <f t="shared" ref="AO905:AZ905" si="1066">AO898+AO904</f>
        <v>912891.85679133248</v>
      </c>
      <c r="AP905" s="124">
        <f t="shared" si="1066"/>
        <v>304297.28559711087</v>
      </c>
      <c r="AQ905" s="124">
        <f t="shared" si="1066"/>
        <v>11094.81875756634</v>
      </c>
      <c r="AR905" s="124">
        <f t="shared" si="1066"/>
        <v>91097.332767447719</v>
      </c>
      <c r="AS905" s="124">
        <f t="shared" si="1066"/>
        <v>0</v>
      </c>
      <c r="AT905" s="124">
        <f t="shared" si="1066"/>
        <v>152148.64279855543</v>
      </c>
      <c r="AU905" s="124">
        <f t="shared" si="1066"/>
        <v>30429.728559711086</v>
      </c>
      <c r="AV905" s="124">
        <f t="shared" si="1066"/>
        <v>190859.69071167789</v>
      </c>
      <c r="AW905" s="124">
        <f t="shared" si="1066"/>
        <v>120713.10261912362</v>
      </c>
      <c r="AX905" s="124">
        <f t="shared" si="1066"/>
        <v>72189.389183430496</v>
      </c>
      <c r="AY905" s="124">
        <f t="shared" si="1066"/>
        <v>0</v>
      </c>
      <c r="AZ905" s="124">
        <f t="shared" si="1066"/>
        <v>41993.025412401286</v>
      </c>
      <c r="BA905" s="152"/>
      <c r="BB905" s="92">
        <f>AO905+AP905+AQ905-AR905+AS905+AU905+AV905+AT905+AW905+AX905+AY905+AZ905</f>
        <v>1745520.207663462</v>
      </c>
      <c r="BC905" s="95"/>
      <c r="BD905" s="95"/>
      <c r="BE905" s="95"/>
    </row>
    <row r="906" spans="1:177" ht="21" customHeight="1" x14ac:dyDescent="0.2">
      <c r="B906" s="457" t="s">
        <v>103</v>
      </c>
      <c r="C906" s="458"/>
      <c r="D906" s="458"/>
      <c r="E906" s="76">
        <f>E904-E905</f>
        <v>0</v>
      </c>
      <c r="F906" s="73"/>
      <c r="G906" s="487"/>
      <c r="H906" s="471"/>
      <c r="I906" s="471"/>
      <c r="J906" s="471"/>
      <c r="K906" s="471"/>
      <c r="L906" s="471"/>
      <c r="M906" s="471"/>
      <c r="N906" s="471"/>
      <c r="O906" s="471"/>
      <c r="P906" s="471"/>
      <c r="Q906" s="471"/>
      <c r="R906" s="471"/>
      <c r="S906" s="471"/>
      <c r="T906" s="471"/>
      <c r="U906" s="471"/>
      <c r="V906" s="471"/>
      <c r="W906" s="471"/>
      <c r="X906" s="471"/>
      <c r="Y906" s="471"/>
      <c r="Z906" s="471"/>
      <c r="AA906" s="471"/>
      <c r="AB906" s="471"/>
      <c r="AC906" s="471"/>
      <c r="AD906" s="471"/>
      <c r="AE906" s="471"/>
      <c r="AF906" s="471"/>
      <c r="AG906" s="472"/>
      <c r="AH906" s="273"/>
      <c r="AI906" s="273"/>
      <c r="AJ906" s="457" t="s">
        <v>103</v>
      </c>
      <c r="AK906" s="458"/>
      <c r="AL906" s="458"/>
      <c r="AM906" s="76">
        <f>AM904-AM905</f>
        <v>0</v>
      </c>
      <c r="AN906" s="73"/>
      <c r="AO906" s="481"/>
      <c r="AP906" s="482"/>
      <c r="AQ906" s="482"/>
      <c r="AR906" s="482"/>
      <c r="AS906" s="482"/>
      <c r="AT906" s="482"/>
      <c r="AU906" s="482"/>
      <c r="AV906" s="482"/>
      <c r="AW906" s="482"/>
      <c r="AX906" s="482"/>
      <c r="AY906" s="482"/>
      <c r="AZ906" s="483"/>
      <c r="BA906" s="152"/>
      <c r="BB906" s="92"/>
      <c r="BC906" s="95"/>
      <c r="BD906" s="95"/>
      <c r="BE906" s="95"/>
    </row>
    <row r="907" spans="1:177" ht="21" customHeight="1" x14ac:dyDescent="0.2">
      <c r="B907" s="5"/>
      <c r="C907" s="94"/>
      <c r="D907" s="5"/>
      <c r="E907" s="94"/>
      <c r="G907" s="27"/>
      <c r="H907" s="27"/>
      <c r="I907" s="95"/>
      <c r="J907" s="95"/>
      <c r="K907" s="95"/>
      <c r="L907" s="27"/>
      <c r="M907" s="128"/>
      <c r="N907" s="66"/>
      <c r="O907" s="95"/>
      <c r="P907" s="66"/>
      <c r="Q907" s="66"/>
      <c r="R907" s="66"/>
      <c r="S907" s="66"/>
      <c r="T907" s="95"/>
      <c r="U907" s="66"/>
      <c r="V907" s="95"/>
      <c r="W907" s="129"/>
      <c r="X907" s="130"/>
      <c r="Y907" s="66"/>
      <c r="Z907" s="66"/>
      <c r="AA907" s="66"/>
      <c r="AB907" s="66"/>
      <c r="AC907" s="66"/>
      <c r="AD907" s="66"/>
      <c r="AE907" s="66"/>
      <c r="AF907" s="66"/>
      <c r="AG907" s="66"/>
      <c r="AH907" s="64"/>
      <c r="AI907" s="64"/>
      <c r="AJ907" s="5"/>
      <c r="AK907" s="94"/>
      <c r="AL907" s="5"/>
      <c r="AM907" s="94"/>
      <c r="AO907" s="153"/>
      <c r="AP907" s="153"/>
      <c r="AQ907" s="153"/>
      <c r="AR907" s="153"/>
      <c r="AS907" s="153"/>
      <c r="AT907" s="153"/>
      <c r="AU907" s="153"/>
      <c r="AV907" s="153"/>
      <c r="AW907" s="153"/>
      <c r="AX907" s="153"/>
      <c r="AY907" s="153"/>
      <c r="AZ907" s="153"/>
      <c r="BA907" s="152"/>
      <c r="BB907" s="92"/>
      <c r="BC907" s="95"/>
      <c r="BD907" s="95"/>
      <c r="BE907" s="95"/>
    </row>
    <row r="908" spans="1:177" ht="21" customHeight="1" x14ac:dyDescent="0.2">
      <c r="B908" s="5"/>
      <c r="C908" s="94"/>
      <c r="D908" s="5"/>
      <c r="E908" s="94"/>
      <c r="G908" s="27"/>
      <c r="H908" s="27"/>
      <c r="I908" s="95"/>
      <c r="J908" s="95"/>
      <c r="K908" s="95"/>
      <c r="L908" s="27"/>
      <c r="M908" s="128"/>
      <c r="N908" s="66"/>
      <c r="O908" s="95"/>
      <c r="P908" s="66"/>
      <c r="Q908" s="66"/>
      <c r="R908" s="66"/>
      <c r="S908" s="66"/>
      <c r="T908" s="95"/>
      <c r="U908" s="66"/>
      <c r="V908" s="95"/>
      <c r="W908" s="129"/>
      <c r="X908" s="130"/>
      <c r="Y908" s="66"/>
      <c r="Z908" s="66"/>
      <c r="AA908" s="66"/>
      <c r="AB908" s="66"/>
      <c r="AC908" s="66"/>
      <c r="AD908" s="66"/>
      <c r="AE908" s="66"/>
      <c r="AF908" s="66"/>
      <c r="AG908" s="66"/>
      <c r="AH908" s="64"/>
      <c r="AI908" s="64"/>
      <c r="AJ908" s="5"/>
      <c r="AK908" s="94"/>
      <c r="AL908" s="5"/>
      <c r="AM908" s="94"/>
      <c r="AO908" s="153"/>
      <c r="AP908" s="153"/>
      <c r="AQ908" s="153"/>
      <c r="AR908" s="153"/>
      <c r="AS908" s="153"/>
      <c r="AT908" s="153"/>
      <c r="AU908" s="153"/>
      <c r="AV908" s="153"/>
      <c r="AW908" s="153"/>
      <c r="AX908" s="153"/>
      <c r="AY908" s="153"/>
      <c r="AZ908" s="153"/>
      <c r="BA908" s="152"/>
      <c r="BB908" s="92"/>
      <c r="BC908" s="95"/>
      <c r="BD908" s="95"/>
      <c r="BE908" s="95"/>
    </row>
    <row r="909" spans="1:177" ht="21" customHeight="1" x14ac:dyDescent="0.2">
      <c r="B909" s="5"/>
      <c r="C909" s="94"/>
      <c r="D909" s="5"/>
      <c r="E909" s="94"/>
      <c r="G909" s="27"/>
      <c r="H909" s="27"/>
      <c r="I909" s="95"/>
      <c r="J909" s="95"/>
      <c r="K909" s="95"/>
      <c r="L909" s="27"/>
      <c r="M909" s="128"/>
      <c r="N909" s="66"/>
      <c r="O909" s="95"/>
      <c r="P909" s="66"/>
      <c r="Q909" s="66"/>
      <c r="R909" s="66"/>
      <c r="S909" s="66"/>
      <c r="T909" s="95"/>
      <c r="U909" s="66"/>
      <c r="V909" s="95"/>
      <c r="W909" s="129"/>
      <c r="X909" s="130"/>
      <c r="Y909" s="66"/>
      <c r="Z909" s="66"/>
      <c r="AA909" s="66"/>
      <c r="AB909" s="66"/>
      <c r="AC909" s="66"/>
      <c r="AD909" s="66"/>
      <c r="AE909" s="66"/>
      <c r="AF909" s="66"/>
      <c r="AG909" s="66"/>
      <c r="AH909" s="64"/>
      <c r="AI909" s="64"/>
      <c r="AJ909" s="5"/>
      <c r="AK909" s="94"/>
      <c r="AL909" s="5"/>
      <c r="AM909" s="94"/>
      <c r="AO909" s="153"/>
      <c r="AP909" s="153"/>
      <c r="AQ909" s="153"/>
      <c r="AR909" s="153"/>
      <c r="AS909" s="153"/>
      <c r="AT909" s="153"/>
      <c r="AU909" s="153"/>
      <c r="AV909" s="153"/>
      <c r="AW909" s="153"/>
      <c r="AX909" s="153"/>
      <c r="AY909" s="153"/>
      <c r="AZ909" s="153"/>
      <c r="BA909" s="152"/>
      <c r="BB909" s="92"/>
      <c r="BC909" s="95"/>
      <c r="BD909" s="95"/>
      <c r="BE909" s="95"/>
    </row>
    <row r="910" spans="1:177" ht="21" customHeight="1" x14ac:dyDescent="0.2">
      <c r="B910" s="5"/>
      <c r="C910" s="94"/>
      <c r="D910" s="5"/>
      <c r="E910" s="94"/>
      <c r="G910" s="27"/>
      <c r="H910" s="27"/>
      <c r="I910" s="95"/>
      <c r="J910" s="95"/>
      <c r="K910" s="95"/>
      <c r="L910" s="27"/>
      <c r="M910" s="128"/>
      <c r="N910" s="66"/>
      <c r="O910" s="95"/>
      <c r="P910" s="66"/>
      <c r="Q910" s="66"/>
      <c r="R910" s="66"/>
      <c r="S910" s="66"/>
      <c r="T910" s="95"/>
      <c r="U910" s="66"/>
      <c r="V910" s="95"/>
      <c r="W910" s="129"/>
      <c r="X910" s="130"/>
      <c r="Y910" s="66"/>
      <c r="Z910" s="66"/>
      <c r="AA910" s="66"/>
      <c r="AB910" s="66"/>
      <c r="AC910" s="66"/>
      <c r="AD910" s="66"/>
      <c r="AE910" s="66"/>
      <c r="AF910" s="66"/>
      <c r="AG910" s="66"/>
      <c r="AH910" s="64"/>
      <c r="AI910" s="64"/>
      <c r="AJ910" s="5"/>
      <c r="AK910" s="94"/>
      <c r="AL910" s="5"/>
      <c r="AM910" s="94"/>
      <c r="AO910" s="153"/>
      <c r="AP910" s="153"/>
      <c r="AQ910" s="153"/>
      <c r="AR910" s="153"/>
      <c r="AS910" s="153"/>
      <c r="AT910" s="153"/>
      <c r="AU910" s="153"/>
      <c r="AV910" s="153"/>
      <c r="AW910" s="153"/>
      <c r="AX910" s="153"/>
      <c r="AY910" s="153"/>
      <c r="AZ910" s="153"/>
      <c r="BA910" s="152"/>
      <c r="BB910" s="92"/>
      <c r="BC910" s="95"/>
      <c r="BD910" s="95"/>
      <c r="BE910" s="95"/>
    </row>
    <row r="911" spans="1:177" ht="21" customHeight="1" thickBot="1" x14ac:dyDescent="0.25">
      <c r="B911" s="5"/>
      <c r="C911" s="94"/>
      <c r="D911" s="5"/>
      <c r="E911" s="94"/>
      <c r="G911" s="27"/>
      <c r="H911" s="27"/>
      <c r="I911" s="95"/>
      <c r="J911" s="95"/>
      <c r="K911" s="95"/>
      <c r="L911" s="27"/>
      <c r="M911" s="128"/>
      <c r="N911" s="66"/>
      <c r="O911" s="95"/>
      <c r="P911" s="66"/>
      <c r="Q911" s="66"/>
      <c r="R911" s="66"/>
      <c r="S911" s="66"/>
      <c r="T911" s="95"/>
      <c r="U911" s="66"/>
      <c r="V911" s="95"/>
      <c r="W911" s="129"/>
      <c r="X911" s="130"/>
      <c r="Y911" s="66"/>
      <c r="Z911" s="66"/>
      <c r="AA911" s="66"/>
      <c r="AB911" s="66"/>
      <c r="AC911" s="66"/>
      <c r="AD911" s="66"/>
      <c r="AE911" s="66"/>
      <c r="AF911" s="66"/>
      <c r="AG911" s="66"/>
      <c r="AH911" s="64"/>
      <c r="AI911" s="64"/>
      <c r="AJ911" s="5"/>
      <c r="AK911" s="94"/>
      <c r="AL911" s="5"/>
      <c r="AM911" s="94"/>
      <c r="AO911" s="153"/>
      <c r="AP911" s="153"/>
      <c r="AQ911" s="153"/>
      <c r="AR911" s="153"/>
      <c r="AS911" s="153"/>
      <c r="AT911" s="153"/>
      <c r="AU911" s="153"/>
      <c r="AV911" s="153"/>
      <c r="AW911" s="153"/>
      <c r="AX911" s="153"/>
      <c r="AY911" s="153"/>
      <c r="AZ911" s="153"/>
      <c r="BA911" s="152"/>
      <c r="BB911" s="92"/>
      <c r="BC911" s="95"/>
      <c r="BD911" s="95"/>
      <c r="BE911" s="95"/>
    </row>
    <row r="912" spans="1:177" s="94" customFormat="1" ht="21" customHeight="1" thickBot="1" x14ac:dyDescent="0.25">
      <c r="B912" s="476" t="s">
        <v>1092</v>
      </c>
      <c r="C912" s="477"/>
      <c r="D912" s="477"/>
      <c r="E912" s="478"/>
      <c r="F912" s="504" t="s">
        <v>4</v>
      </c>
      <c r="G912" s="291" t="s">
        <v>5</v>
      </c>
      <c r="H912" s="292" t="s">
        <v>6</v>
      </c>
      <c r="I912" s="293" t="s">
        <v>7</v>
      </c>
      <c r="J912" s="293"/>
      <c r="K912" s="293"/>
      <c r="L912" s="293"/>
      <c r="M912" s="294">
        <v>4.0000000000000002E-4</v>
      </c>
      <c r="N912" s="295" t="s">
        <v>8</v>
      </c>
      <c r="O912" s="296" t="s">
        <v>9</v>
      </c>
      <c r="P912" s="296" t="s">
        <v>10</v>
      </c>
      <c r="Q912" s="297" t="s">
        <v>11</v>
      </c>
      <c r="R912" s="296" t="s">
        <v>12</v>
      </c>
      <c r="S912" s="298" t="s">
        <v>11</v>
      </c>
      <c r="T912" s="299" t="s">
        <v>13</v>
      </c>
      <c r="U912" s="300" t="s">
        <v>11</v>
      </c>
      <c r="V912" s="301" t="s">
        <v>12</v>
      </c>
      <c r="W912" s="302" t="s">
        <v>14</v>
      </c>
      <c r="X912" s="303" t="s">
        <v>15</v>
      </c>
      <c r="Y912" s="299" t="s">
        <v>16</v>
      </c>
      <c r="Z912" s="297" t="s">
        <v>17</v>
      </c>
      <c r="AA912" s="304" t="s">
        <v>18</v>
      </c>
      <c r="AB912" s="301" t="s">
        <v>19</v>
      </c>
      <c r="AC912" s="297" t="s">
        <v>20</v>
      </c>
      <c r="AD912" s="297" t="s">
        <v>21</v>
      </c>
      <c r="AE912" s="297" t="s">
        <v>22</v>
      </c>
      <c r="AF912" s="301" t="s">
        <v>23</v>
      </c>
      <c r="AG912" s="296" t="s">
        <v>24</v>
      </c>
      <c r="AH912" s="132"/>
      <c r="AI912" s="132"/>
      <c r="AJ912" s="476" t="s">
        <v>1092</v>
      </c>
      <c r="AK912" s="477"/>
      <c r="AL912" s="477"/>
      <c r="AM912" s="478"/>
      <c r="AN912" s="504" t="s">
        <v>4</v>
      </c>
      <c r="AO912" s="22" t="s">
        <v>11</v>
      </c>
      <c r="AP912" s="12" t="s">
        <v>12</v>
      </c>
      <c r="AQ912" s="23" t="s">
        <v>15</v>
      </c>
      <c r="AR912" s="22" t="s">
        <v>16</v>
      </c>
      <c r="AS912" s="22" t="s">
        <v>25</v>
      </c>
      <c r="AT912" s="20" t="s">
        <v>26</v>
      </c>
      <c r="AU912" s="24" t="s">
        <v>27</v>
      </c>
      <c r="AV912" s="23" t="s">
        <v>20</v>
      </c>
      <c r="AW912" s="22" t="s">
        <v>28</v>
      </c>
      <c r="AX912" s="22" t="s">
        <v>29</v>
      </c>
      <c r="AY912" s="25" t="s">
        <v>23</v>
      </c>
      <c r="AZ912" s="24" t="s">
        <v>24</v>
      </c>
      <c r="BB912" s="92"/>
      <c r="BC912" s="95"/>
      <c r="BD912" s="95"/>
      <c r="BE912" s="95"/>
    </row>
    <row r="913" spans="1:177" s="94" customFormat="1" ht="21" customHeight="1" thickBot="1" x14ac:dyDescent="0.25">
      <c r="B913" s="30" t="s">
        <v>30</v>
      </c>
      <c r="C913" s="6" t="s">
        <v>31</v>
      </c>
      <c r="D913" s="30" t="s">
        <v>105</v>
      </c>
      <c r="E913" s="32" t="s">
        <v>32</v>
      </c>
      <c r="F913" s="505"/>
      <c r="G913" s="305" t="s">
        <v>33</v>
      </c>
      <c r="H913" s="306">
        <v>45657</v>
      </c>
      <c r="I913" s="307">
        <v>2023</v>
      </c>
      <c r="J913" s="307"/>
      <c r="K913" s="307"/>
      <c r="L913" s="307"/>
      <c r="M913" s="308"/>
      <c r="N913" s="309"/>
      <c r="O913" s="310">
        <v>2024</v>
      </c>
      <c r="P913" s="311" t="s">
        <v>34</v>
      </c>
      <c r="Q913" s="312" t="s">
        <v>35</v>
      </c>
      <c r="R913" s="311" t="s">
        <v>36</v>
      </c>
      <c r="S913" s="313" t="s">
        <v>37</v>
      </c>
      <c r="T913" s="314" t="s">
        <v>38</v>
      </c>
      <c r="U913" s="315" t="s">
        <v>39</v>
      </c>
      <c r="V913" s="313" t="s">
        <v>39</v>
      </c>
      <c r="W913" s="316" t="s">
        <v>15</v>
      </c>
      <c r="X913" s="317" t="s">
        <v>35</v>
      </c>
      <c r="Y913" s="314" t="s">
        <v>35</v>
      </c>
      <c r="Z913" s="312" t="s">
        <v>35</v>
      </c>
      <c r="AA913" s="318" t="s">
        <v>35</v>
      </c>
      <c r="AB913" s="313" t="s">
        <v>35</v>
      </c>
      <c r="AC913" s="312" t="s">
        <v>35</v>
      </c>
      <c r="AD913" s="312" t="s">
        <v>35</v>
      </c>
      <c r="AE913" s="312" t="s">
        <v>35</v>
      </c>
      <c r="AF913" s="313" t="s">
        <v>35</v>
      </c>
      <c r="AG913" s="312" t="s">
        <v>35</v>
      </c>
      <c r="AH913" s="135"/>
      <c r="AI913" s="135"/>
      <c r="AJ913" s="30" t="s">
        <v>30</v>
      </c>
      <c r="AK913" s="6" t="s">
        <v>31</v>
      </c>
      <c r="AL913" s="30" t="s">
        <v>105</v>
      </c>
      <c r="AM913" s="32" t="s">
        <v>32</v>
      </c>
      <c r="AN913" s="505"/>
      <c r="AO913" s="40" t="s">
        <v>40</v>
      </c>
      <c r="AP913" s="39" t="s">
        <v>41</v>
      </c>
      <c r="AQ913" s="48" t="s">
        <v>40</v>
      </c>
      <c r="AR913" s="49" t="s">
        <v>40</v>
      </c>
      <c r="AS913" s="49" t="s">
        <v>40</v>
      </c>
      <c r="AT913" s="46" t="s">
        <v>40</v>
      </c>
      <c r="AU913" s="49" t="s">
        <v>40</v>
      </c>
      <c r="AV913" s="48" t="s">
        <v>40</v>
      </c>
      <c r="AW913" s="49" t="s">
        <v>40</v>
      </c>
      <c r="AX913" s="49" t="s">
        <v>40</v>
      </c>
      <c r="AY913" s="48" t="s">
        <v>40</v>
      </c>
      <c r="AZ913" s="49" t="s">
        <v>40</v>
      </c>
      <c r="BB913" s="92"/>
      <c r="BC913" s="95"/>
      <c r="BD913" s="95"/>
      <c r="BE913" s="95"/>
    </row>
    <row r="914" spans="1:177" ht="21" customHeight="1" x14ac:dyDescent="0.2">
      <c r="B914" s="51">
        <v>1</v>
      </c>
      <c r="C914" s="77" t="s">
        <v>42</v>
      </c>
      <c r="D914" s="51">
        <v>21020</v>
      </c>
      <c r="E914" s="50" t="s">
        <v>1093</v>
      </c>
      <c r="F914" s="72" t="s">
        <v>1094</v>
      </c>
      <c r="G914" s="56">
        <v>45459</v>
      </c>
      <c r="H914" s="56" t="str">
        <f xml:space="preserve"> CONCATENATE(DATEDIF(G914,H$5,"Y")," AÑOS")</f>
        <v>0 AÑOS</v>
      </c>
      <c r="I914" s="57">
        <v>12066.042114296237</v>
      </c>
      <c r="J914" s="58"/>
      <c r="K914" s="58"/>
      <c r="L914" s="59"/>
      <c r="M914" s="60">
        <v>4.0000000000000002E-4</v>
      </c>
      <c r="N914" s="61">
        <f>I914*0.04</f>
        <v>482.64168457184951</v>
      </c>
      <c r="O914" s="58">
        <f>I914+N914</f>
        <v>12548.683798868085</v>
      </c>
      <c r="P914" s="61">
        <f>O914*2</f>
        <v>25097.367597736171</v>
      </c>
      <c r="Q914" s="61">
        <f>P914*0.75</f>
        <v>18823.025698302128</v>
      </c>
      <c r="R914" s="61">
        <f>P914*0.25</f>
        <v>6274.3418994340427</v>
      </c>
      <c r="S914" s="61">
        <f>(P914/30)</f>
        <v>836.57891992453904</v>
      </c>
      <c r="T914" s="58">
        <f t="shared" si="1029"/>
        <v>960.30894218137826</v>
      </c>
      <c r="U914" s="61">
        <f>O914*0.75</f>
        <v>9411.5128491510641</v>
      </c>
      <c r="V914" s="58">
        <f>O914*0.25</f>
        <v>3137.1709497170214</v>
      </c>
      <c r="W914" s="62">
        <v>0</v>
      </c>
      <c r="X914" s="63">
        <f>P914*W914</f>
        <v>0</v>
      </c>
      <c r="Y914" s="61">
        <v>2374.474337157335</v>
      </c>
      <c r="Z914" s="61">
        <v>0</v>
      </c>
      <c r="AA914" s="61">
        <f>(S914*45)/12</f>
        <v>3137.1709497170214</v>
      </c>
      <c r="AB914" s="61">
        <f>(S914*10)*(0.45*2)/12</f>
        <v>627.43418994340425</v>
      </c>
      <c r="AC914" s="61">
        <v>3624.3808054279884</v>
      </c>
      <c r="AD914" s="61">
        <v>2517.0177529045018</v>
      </c>
      <c r="AE914" s="61">
        <v>1488.4788603811364</v>
      </c>
      <c r="AF914" s="61">
        <v>0</v>
      </c>
      <c r="AG914" s="61">
        <f>(P914+AA914+AB914)*0.03</f>
        <v>865.8591821218979</v>
      </c>
      <c r="AH914" s="64"/>
      <c r="AI914" s="64"/>
      <c r="AJ914" s="51">
        <v>1</v>
      </c>
      <c r="AK914" s="77" t="s">
        <v>42</v>
      </c>
      <c r="AL914" s="51">
        <v>21020</v>
      </c>
      <c r="AM914" s="50" t="s">
        <v>1093</v>
      </c>
      <c r="AN914" s="72" t="s">
        <v>1094</v>
      </c>
      <c r="AO914" s="65">
        <f>Q914*12</f>
        <v>225876.30837962555</v>
      </c>
      <c r="AP914" s="65">
        <f>R914*12</f>
        <v>75292.102793208513</v>
      </c>
      <c r="AQ914" s="65">
        <f t="shared" ref="AQ914:AZ914" si="1067">X914*12</f>
        <v>0</v>
      </c>
      <c r="AR914" s="65">
        <f t="shared" si="1067"/>
        <v>28493.692045888019</v>
      </c>
      <c r="AS914" s="65">
        <f t="shared" si="1067"/>
        <v>0</v>
      </c>
      <c r="AT914" s="65">
        <f t="shared" si="1067"/>
        <v>37646.051396604256</v>
      </c>
      <c r="AU914" s="65">
        <f t="shared" si="1067"/>
        <v>7529.2102793208505</v>
      </c>
      <c r="AV914" s="65">
        <f t="shared" si="1067"/>
        <v>43492.569665135859</v>
      </c>
      <c r="AW914" s="65">
        <f t="shared" si="1067"/>
        <v>30204.213034854023</v>
      </c>
      <c r="AX914" s="65">
        <f t="shared" si="1067"/>
        <v>17861.746324573636</v>
      </c>
      <c r="AY914" s="65">
        <f t="shared" si="1067"/>
        <v>0</v>
      </c>
      <c r="AZ914" s="65">
        <f t="shared" si="1067"/>
        <v>10390.310185462775</v>
      </c>
      <c r="BB914" s="64"/>
      <c r="BC914" s="66"/>
      <c r="BD914" s="66"/>
      <c r="BE914" s="66"/>
    </row>
    <row r="915" spans="1:177" s="364" customFormat="1" ht="21" customHeight="1" x14ac:dyDescent="0.2">
      <c r="B915" s="369">
        <v>2</v>
      </c>
      <c r="C915" s="372" t="s">
        <v>42</v>
      </c>
      <c r="D915" s="365">
        <v>16542</v>
      </c>
      <c r="E915" s="372" t="s">
        <v>1095</v>
      </c>
      <c r="F915" s="421" t="s">
        <v>1096</v>
      </c>
      <c r="G915" s="384">
        <v>43862</v>
      </c>
      <c r="H915" s="56" t="str">
        <f xml:space="preserve"> CONCATENATE(DATEDIF(G915,H$5,"Y")," AÑOS")</f>
        <v>4 AÑOS</v>
      </c>
      <c r="I915" s="57">
        <v>4913.376968141848</v>
      </c>
      <c r="J915" s="58">
        <v>5984.31</v>
      </c>
      <c r="K915" s="108">
        <f>J915-I915</f>
        <v>1070.9330318581524</v>
      </c>
      <c r="L915" s="173">
        <f>K915*100/I915</f>
        <v>21.796272478216956</v>
      </c>
      <c r="M915" s="60">
        <v>2.1800000000000001E-3</v>
      </c>
      <c r="N915" s="61">
        <f>I915*0.2179</f>
        <v>1070.6248413581088</v>
      </c>
      <c r="O915" s="58">
        <f>I915+N915</f>
        <v>5984.0018094999568</v>
      </c>
      <c r="P915" s="61">
        <f>O915*2</f>
        <v>11968.003618999914</v>
      </c>
      <c r="Q915" s="61">
        <f>P915*0.75</f>
        <v>8976.0027142499348</v>
      </c>
      <c r="R915" s="61">
        <f>P915*0.25</f>
        <v>2992.0009047499784</v>
      </c>
      <c r="S915" s="61">
        <f>(P915/30)</f>
        <v>398.93345396666376</v>
      </c>
      <c r="T915" s="58">
        <f>S915*1.1479</f>
        <v>457.93571180833328</v>
      </c>
      <c r="U915" s="61">
        <f>O915*0.75</f>
        <v>4488.0013571249674</v>
      </c>
      <c r="V915" s="58">
        <f>O915*0.25</f>
        <v>1496.0004523749892</v>
      </c>
      <c r="W915" s="62">
        <v>0</v>
      </c>
      <c r="X915" s="63">
        <f>P915*W915</f>
        <v>0</v>
      </c>
      <c r="Y915" s="61">
        <v>663.67865599999993</v>
      </c>
      <c r="Z915" s="61">
        <v>0</v>
      </c>
      <c r="AA915" s="61">
        <f>(S915*45)/12</f>
        <v>1496.0004523749892</v>
      </c>
      <c r="AB915" s="61">
        <f>(S915*10)*(0.45*2)/12</f>
        <v>299.20009047499781</v>
      </c>
      <c r="AC915" s="61">
        <v>2015.2214249096633</v>
      </c>
      <c r="AD915" s="61">
        <v>1200.2723974352318</v>
      </c>
      <c r="AE915" s="61">
        <v>709.80035330291662</v>
      </c>
      <c r="AF915" s="61">
        <v>0</v>
      </c>
      <c r="AG915" s="61">
        <f>(P915+AA915+AB915)*0.03</f>
        <v>412.89612485549702</v>
      </c>
      <c r="AH915" s="64"/>
      <c r="AI915" s="64"/>
      <c r="AJ915" s="369">
        <v>2</v>
      </c>
      <c r="AK915" s="372" t="s">
        <v>42</v>
      </c>
      <c r="AL915" s="365">
        <v>16542</v>
      </c>
      <c r="AM915" s="372" t="s">
        <v>1095</v>
      </c>
      <c r="AN915" s="421" t="s">
        <v>1096</v>
      </c>
      <c r="AO915" s="368">
        <f t="shared" ref="AO915:AP915" si="1068">Q915*3</f>
        <v>26928.008142749804</v>
      </c>
      <c r="AP915" s="368">
        <f t="shared" si="1068"/>
        <v>8976.0027142499348</v>
      </c>
      <c r="AQ915" s="368">
        <f t="shared" ref="AQ915:AZ915" si="1069">X915*3</f>
        <v>0</v>
      </c>
      <c r="AR915" s="368">
        <f t="shared" si="1069"/>
        <v>1991.0359679999997</v>
      </c>
      <c r="AS915" s="368">
        <f t="shared" si="1069"/>
        <v>0</v>
      </c>
      <c r="AT915" s="368">
        <f t="shared" si="1069"/>
        <v>4488.0013571249674</v>
      </c>
      <c r="AU915" s="368">
        <f t="shared" si="1069"/>
        <v>897.60027142499348</v>
      </c>
      <c r="AV915" s="368">
        <f t="shared" si="1069"/>
        <v>6045.6642747289898</v>
      </c>
      <c r="AW915" s="368">
        <f t="shared" si="1069"/>
        <v>3600.8171923056952</v>
      </c>
      <c r="AX915" s="368">
        <f t="shared" si="1069"/>
        <v>2129.4010599087496</v>
      </c>
      <c r="AY915" s="368">
        <f t="shared" si="1069"/>
        <v>0</v>
      </c>
      <c r="AZ915" s="368">
        <f t="shared" si="1069"/>
        <v>1238.6883745664911</v>
      </c>
      <c r="BB915" s="64"/>
      <c r="BC915" s="66"/>
      <c r="BD915" s="66"/>
      <c r="BE915" s="66"/>
    </row>
    <row r="916" spans="1:177" s="364" customFormat="1" ht="21" customHeight="1" x14ac:dyDescent="0.2">
      <c r="B916" s="506" t="s">
        <v>65</v>
      </c>
      <c r="C916" s="507"/>
      <c r="D916" s="507"/>
      <c r="E916" s="507"/>
      <c r="F916" s="508"/>
      <c r="G916" s="441"/>
      <c r="H916" s="449"/>
      <c r="I916" s="57">
        <f>SUM(I914:I915)</f>
        <v>16979.419082438086</v>
      </c>
      <c r="J916" s="57">
        <f t="shared" ref="J916:AG916" si="1070">SUM(J914:J915)</f>
        <v>5984.31</v>
      </c>
      <c r="K916" s="57">
        <f t="shared" si="1070"/>
        <v>1070.9330318581524</v>
      </c>
      <c r="L916" s="57">
        <f t="shared" si="1070"/>
        <v>21.796272478216956</v>
      </c>
      <c r="M916" s="57">
        <f t="shared" si="1070"/>
        <v>2.5800000000000003E-3</v>
      </c>
      <c r="N916" s="57">
        <f t="shared" si="1070"/>
        <v>1553.2665259299583</v>
      </c>
      <c r="O916" s="57">
        <f t="shared" si="1070"/>
        <v>18532.685608368043</v>
      </c>
      <c r="P916" s="57">
        <f t="shared" si="1070"/>
        <v>37065.371216736086</v>
      </c>
      <c r="Q916" s="57">
        <f t="shared" si="1070"/>
        <v>27799.028412552063</v>
      </c>
      <c r="R916" s="57">
        <f t="shared" si="1070"/>
        <v>9266.3428041840216</v>
      </c>
      <c r="S916" s="57">
        <f t="shared" si="1070"/>
        <v>1235.5123738912027</v>
      </c>
      <c r="T916" s="57">
        <f t="shared" si="1070"/>
        <v>1418.2446539897114</v>
      </c>
      <c r="U916" s="57">
        <f t="shared" si="1070"/>
        <v>13899.514206276031</v>
      </c>
      <c r="V916" s="57">
        <f t="shared" si="1070"/>
        <v>4633.1714020920108</v>
      </c>
      <c r="W916" s="57">
        <f t="shared" si="1070"/>
        <v>0</v>
      </c>
      <c r="X916" s="57">
        <f t="shared" si="1070"/>
        <v>0</v>
      </c>
      <c r="Y916" s="57">
        <f t="shared" si="1070"/>
        <v>3038.152993157335</v>
      </c>
      <c r="Z916" s="57">
        <f t="shared" si="1070"/>
        <v>0</v>
      </c>
      <c r="AA916" s="57">
        <f t="shared" si="1070"/>
        <v>4633.1714020920108</v>
      </c>
      <c r="AB916" s="57">
        <f t="shared" si="1070"/>
        <v>926.63428041840211</v>
      </c>
      <c r="AC916" s="57">
        <f t="shared" si="1070"/>
        <v>5639.6022303376521</v>
      </c>
      <c r="AD916" s="57">
        <f t="shared" si="1070"/>
        <v>3717.2901503397334</v>
      </c>
      <c r="AE916" s="57">
        <f t="shared" si="1070"/>
        <v>2198.279213684053</v>
      </c>
      <c r="AF916" s="57">
        <f t="shared" si="1070"/>
        <v>0</v>
      </c>
      <c r="AG916" s="57">
        <f t="shared" si="1070"/>
        <v>1278.7553069773949</v>
      </c>
      <c r="AH916" s="92"/>
      <c r="AI916" s="92"/>
      <c r="AJ916" s="506" t="s">
        <v>65</v>
      </c>
      <c r="AK916" s="507"/>
      <c r="AL916" s="507"/>
      <c r="AM916" s="507"/>
      <c r="AN916" s="508"/>
      <c r="AO916" s="450">
        <f>SUM(AO914:AO915)</f>
        <v>252804.31652237536</v>
      </c>
      <c r="AP916" s="450">
        <f t="shared" ref="AP916:AY916" si="1071">SUM(AP914:AP915)</f>
        <v>84268.105507458444</v>
      </c>
      <c r="AQ916" s="450">
        <f t="shared" si="1071"/>
        <v>0</v>
      </c>
      <c r="AR916" s="450">
        <f t="shared" si="1071"/>
        <v>30484.72801388802</v>
      </c>
      <c r="AS916" s="450">
        <f t="shared" si="1071"/>
        <v>0</v>
      </c>
      <c r="AT916" s="450">
        <f t="shared" si="1071"/>
        <v>42134.052753729222</v>
      </c>
      <c r="AU916" s="450">
        <f t="shared" si="1071"/>
        <v>8426.810550745844</v>
      </c>
      <c r="AV916" s="450">
        <f t="shared" si="1071"/>
        <v>49538.233939864847</v>
      </c>
      <c r="AW916" s="450">
        <f t="shared" si="1071"/>
        <v>33805.030227159717</v>
      </c>
      <c r="AX916" s="450">
        <f t="shared" si="1071"/>
        <v>19991.147384482385</v>
      </c>
      <c r="AY916" s="450">
        <f t="shared" si="1071"/>
        <v>0</v>
      </c>
      <c r="AZ916" s="450">
        <f>SUM(AZ914:AZ915)</f>
        <v>11628.998560029266</v>
      </c>
      <c r="BA916" s="411"/>
      <c r="BB916" s="92"/>
      <c r="BC916" s="95"/>
      <c r="BD916" s="95"/>
      <c r="BE916" s="95"/>
    </row>
    <row r="917" spans="1:177" s="364" customFormat="1" ht="21" customHeight="1" x14ac:dyDescent="0.2">
      <c r="B917" s="365">
        <v>3</v>
      </c>
      <c r="C917" s="372" t="s">
        <v>66</v>
      </c>
      <c r="D917" s="365">
        <v>21018</v>
      </c>
      <c r="E917" s="371" t="s">
        <v>1097</v>
      </c>
      <c r="F917" s="451" t="s">
        <v>1098</v>
      </c>
      <c r="G917" s="398">
        <v>44809</v>
      </c>
      <c r="H917" s="56" t="str">
        <f t="shared" ref="H917:H922" si="1072" xml:space="preserve"> CONCATENATE(DATEDIF(G917,H$5,"Y")," AÑOS")</f>
        <v>2 AÑOS</v>
      </c>
      <c r="I917" s="57">
        <v>5563.2008796908558</v>
      </c>
      <c r="J917" s="58"/>
      <c r="K917" s="58"/>
      <c r="L917" s="59"/>
      <c r="M917" s="60">
        <v>4.0000000000000002E-4</v>
      </c>
      <c r="N917" s="61">
        <f>I917*0.04</f>
        <v>222.52803518763423</v>
      </c>
      <c r="O917" s="58">
        <f t="shared" ref="O917:O922" si="1073">I917+N917</f>
        <v>5785.7289148784903</v>
      </c>
      <c r="P917" s="61">
        <f t="shared" ref="P917:P922" si="1074">O917*2</f>
        <v>11571.457829756981</v>
      </c>
      <c r="Q917" s="61">
        <f t="shared" ref="Q917:Q922" si="1075">P917*0.75</f>
        <v>8678.593372317735</v>
      </c>
      <c r="R917" s="61">
        <f t="shared" ref="R917:R922" si="1076">P917*0.25</f>
        <v>2892.8644574392451</v>
      </c>
      <c r="S917" s="61">
        <f t="shared" ref="S917:S922" si="1077">(P917/30)</f>
        <v>385.71526099189936</v>
      </c>
      <c r="T917" s="58">
        <f t="shared" ref="T917:T922" si="1078">S917*1.1479</f>
        <v>442.76254809260126</v>
      </c>
      <c r="U917" s="61">
        <f t="shared" ref="U917:U922" si="1079">O917*0.75</f>
        <v>4339.2966861588675</v>
      </c>
      <c r="V917" s="58">
        <f t="shared" ref="V917:V922" si="1080">O917*0.25</f>
        <v>1446.4322287196226</v>
      </c>
      <c r="W917" s="101">
        <v>0</v>
      </c>
      <c r="X917" s="63">
        <f t="shared" ref="X917:X922" si="1081">P917*W917</f>
        <v>0</v>
      </c>
      <c r="Y917" s="61">
        <v>631.27022290816944</v>
      </c>
      <c r="Z917" s="61">
        <v>0</v>
      </c>
      <c r="AA917" s="61">
        <f t="shared" ref="AA917:AA922" si="1082">(S917*45)/12</f>
        <v>1446.4322287196226</v>
      </c>
      <c r="AB917" s="61">
        <f t="shared" ref="AB917:AB922" si="1083">(S917*10)*(0.45*2)/12</f>
        <v>289.2864457439245</v>
      </c>
      <c r="AC917" s="61">
        <v>1966.6200320623968</v>
      </c>
      <c r="AD917" s="61">
        <v>1160.5027766781125</v>
      </c>
      <c r="AE917" s="61">
        <v>686.28194954353194</v>
      </c>
      <c r="AF917" s="61">
        <v>0</v>
      </c>
      <c r="AG917" s="61">
        <f t="shared" ref="AG917:AG922" si="1084">(P917+AA917+AB917)*0.03</f>
        <v>399.21529512661584</v>
      </c>
      <c r="AH917" s="64"/>
      <c r="AI917" s="64"/>
      <c r="AJ917" s="365">
        <v>3</v>
      </c>
      <c r="AK917" s="372" t="s">
        <v>66</v>
      </c>
      <c r="AL917" s="365">
        <v>21018</v>
      </c>
      <c r="AM917" s="371" t="s">
        <v>1097</v>
      </c>
      <c r="AN917" s="451" t="s">
        <v>1098</v>
      </c>
      <c r="AO917" s="368">
        <f>Q917*12</f>
        <v>104143.12046781281</v>
      </c>
      <c r="AP917" s="368">
        <f>R917*12</f>
        <v>34714.37348927094</v>
      </c>
      <c r="AQ917" s="368">
        <f t="shared" ref="AQ917:AZ917" si="1085">X917*12</f>
        <v>0</v>
      </c>
      <c r="AR917" s="368">
        <f t="shared" si="1085"/>
        <v>7575.2426748980333</v>
      </c>
      <c r="AS917" s="368">
        <f t="shared" si="1085"/>
        <v>0</v>
      </c>
      <c r="AT917" s="368">
        <f t="shared" si="1085"/>
        <v>17357.18674463547</v>
      </c>
      <c r="AU917" s="368">
        <f t="shared" si="1085"/>
        <v>3471.4373489270938</v>
      </c>
      <c r="AV917" s="368">
        <f t="shared" si="1085"/>
        <v>23599.440384748763</v>
      </c>
      <c r="AW917" s="368">
        <f t="shared" si="1085"/>
        <v>13926.033320137351</v>
      </c>
      <c r="AX917" s="368">
        <f t="shared" si="1085"/>
        <v>8235.3833945223832</v>
      </c>
      <c r="AY917" s="368">
        <f t="shared" si="1085"/>
        <v>0</v>
      </c>
      <c r="AZ917" s="368">
        <f t="shared" si="1085"/>
        <v>4790.5835415193906</v>
      </c>
      <c r="BB917" s="64"/>
      <c r="BC917" s="66"/>
      <c r="BD917" s="66"/>
      <c r="BE917" s="66"/>
    </row>
    <row r="918" spans="1:177" s="364" customFormat="1" ht="21" customHeight="1" x14ac:dyDescent="0.2">
      <c r="B918" s="369">
        <v>4</v>
      </c>
      <c r="C918" s="372" t="s">
        <v>66</v>
      </c>
      <c r="D918" s="365">
        <v>23016</v>
      </c>
      <c r="E918" s="371" t="s">
        <v>1099</v>
      </c>
      <c r="F918" s="452" t="s">
        <v>1100</v>
      </c>
      <c r="G918" s="363">
        <v>44652</v>
      </c>
      <c r="H918" s="56" t="str">
        <f t="shared" si="1072"/>
        <v>2 AÑOS</v>
      </c>
      <c r="I918" s="57">
        <v>6063.7919811272313</v>
      </c>
      <c r="J918" s="58"/>
      <c r="K918" s="57"/>
      <c r="L918" s="59"/>
      <c r="M918" s="60">
        <v>4.0000000000000002E-4</v>
      </c>
      <c r="N918" s="61">
        <f>I918*0.04</f>
        <v>242.55167924508925</v>
      </c>
      <c r="O918" s="58">
        <f t="shared" si="1073"/>
        <v>6306.3436603723203</v>
      </c>
      <c r="P918" s="61">
        <f t="shared" si="1074"/>
        <v>12612.687320744641</v>
      </c>
      <c r="Q918" s="61">
        <f t="shared" si="1075"/>
        <v>9459.5154905584805</v>
      </c>
      <c r="R918" s="61">
        <f t="shared" si="1076"/>
        <v>3153.1718301861602</v>
      </c>
      <c r="S918" s="61">
        <f t="shared" si="1077"/>
        <v>420.42291069148803</v>
      </c>
      <c r="T918" s="58">
        <f t="shared" si="1078"/>
        <v>482.60345918275908</v>
      </c>
      <c r="U918" s="61">
        <f t="shared" si="1079"/>
        <v>4729.7577452792402</v>
      </c>
      <c r="V918" s="58">
        <f t="shared" si="1080"/>
        <v>1576.5859150930801</v>
      </c>
      <c r="W918" s="62">
        <v>0</v>
      </c>
      <c r="X918" s="63">
        <f t="shared" si="1081"/>
        <v>0</v>
      </c>
      <c r="Y918" s="61">
        <v>716.23454937276256</v>
      </c>
      <c r="Z918" s="61">
        <v>0</v>
      </c>
      <c r="AA918" s="61">
        <f t="shared" si="1082"/>
        <v>1576.5859150930801</v>
      </c>
      <c r="AB918" s="61">
        <f t="shared" si="1083"/>
        <v>315.31718301861605</v>
      </c>
      <c r="AC918" s="61">
        <v>2094.2350639412216</v>
      </c>
      <c r="AD918" s="61">
        <v>1264.9277966909708</v>
      </c>
      <c r="AE918" s="61">
        <v>748.03536173327666</v>
      </c>
      <c r="AF918" s="61">
        <v>0</v>
      </c>
      <c r="AG918" s="61">
        <f t="shared" si="1084"/>
        <v>435.13771256569015</v>
      </c>
      <c r="AH918" s="64"/>
      <c r="AI918" s="64"/>
      <c r="AJ918" s="369">
        <v>4</v>
      </c>
      <c r="AK918" s="372" t="s">
        <v>66</v>
      </c>
      <c r="AL918" s="365">
        <v>23016</v>
      </c>
      <c r="AM918" s="371" t="s">
        <v>1099</v>
      </c>
      <c r="AN918" s="452" t="s">
        <v>1100</v>
      </c>
      <c r="AO918" s="368">
        <f t="shared" ref="AO918:AP920" si="1086">Q918*3</f>
        <v>28378.546471675443</v>
      </c>
      <c r="AP918" s="368">
        <f t="shared" si="1086"/>
        <v>9459.5154905584805</v>
      </c>
      <c r="AQ918" s="368">
        <f t="shared" ref="AQ918:AZ920" si="1087">X918*3</f>
        <v>0</v>
      </c>
      <c r="AR918" s="368">
        <f t="shared" si="1087"/>
        <v>2148.7036481182877</v>
      </c>
      <c r="AS918" s="368">
        <f t="shared" si="1087"/>
        <v>0</v>
      </c>
      <c r="AT918" s="368">
        <f t="shared" si="1087"/>
        <v>4729.7577452792402</v>
      </c>
      <c r="AU918" s="368">
        <f t="shared" si="1087"/>
        <v>945.95154905584809</v>
      </c>
      <c r="AV918" s="368">
        <f t="shared" si="1087"/>
        <v>6282.7051918236648</v>
      </c>
      <c r="AW918" s="368">
        <f t="shared" si="1087"/>
        <v>3794.7833900729124</v>
      </c>
      <c r="AX918" s="368">
        <f t="shared" si="1087"/>
        <v>2244.10608519983</v>
      </c>
      <c r="AY918" s="368">
        <f t="shared" si="1087"/>
        <v>0</v>
      </c>
      <c r="AZ918" s="368">
        <f t="shared" si="1087"/>
        <v>1305.4131376970704</v>
      </c>
      <c r="BB918" s="64"/>
      <c r="BC918" s="66"/>
      <c r="BD918" s="66"/>
      <c r="BE918" s="66"/>
    </row>
    <row r="919" spans="1:177" s="364" customFormat="1" ht="21" customHeight="1" x14ac:dyDescent="0.2">
      <c r="B919" s="365">
        <v>5</v>
      </c>
      <c r="C919" s="372" t="s">
        <v>66</v>
      </c>
      <c r="D919" s="365">
        <v>16554</v>
      </c>
      <c r="E919" s="372" t="s">
        <v>1101</v>
      </c>
      <c r="F919" s="453" t="s">
        <v>1096</v>
      </c>
      <c r="G919" s="398">
        <v>43862</v>
      </c>
      <c r="H919" s="56" t="str">
        <f t="shared" si="1072"/>
        <v>4 AÑOS</v>
      </c>
      <c r="I919" s="57">
        <v>4913.376968141848</v>
      </c>
      <c r="J919" s="58">
        <v>5984.31</v>
      </c>
      <c r="K919" s="108">
        <f>J919-I919</f>
        <v>1070.9330318581524</v>
      </c>
      <c r="L919" s="173">
        <f>K919*100/I919</f>
        <v>21.796272478216956</v>
      </c>
      <c r="M919" s="60">
        <v>2.1800000000000001E-3</v>
      </c>
      <c r="N919" s="61">
        <f>I919*0.2179</f>
        <v>1070.6248413581088</v>
      </c>
      <c r="O919" s="58">
        <f t="shared" si="1073"/>
        <v>5984.0018094999568</v>
      </c>
      <c r="P919" s="61">
        <f t="shared" si="1074"/>
        <v>11968.003618999914</v>
      </c>
      <c r="Q919" s="61">
        <f t="shared" si="1075"/>
        <v>8976.0027142499348</v>
      </c>
      <c r="R919" s="61">
        <f t="shared" si="1076"/>
        <v>2992.0009047499784</v>
      </c>
      <c r="S919" s="61">
        <f t="shared" si="1077"/>
        <v>398.93345396666376</v>
      </c>
      <c r="T919" s="58">
        <f t="shared" si="1078"/>
        <v>457.93571180833328</v>
      </c>
      <c r="U919" s="61">
        <f t="shared" si="1079"/>
        <v>4488.0013571249674</v>
      </c>
      <c r="V919" s="58">
        <f t="shared" si="1080"/>
        <v>1496.0004523749892</v>
      </c>
      <c r="W919" s="101">
        <v>0</v>
      </c>
      <c r="X919" s="63">
        <f t="shared" si="1081"/>
        <v>0</v>
      </c>
      <c r="Y919" s="61">
        <v>663.67865599999993</v>
      </c>
      <c r="Z919" s="61">
        <v>0</v>
      </c>
      <c r="AA919" s="61">
        <f t="shared" si="1082"/>
        <v>1496.0004523749892</v>
      </c>
      <c r="AB919" s="61">
        <f t="shared" si="1083"/>
        <v>299.20009047499781</v>
      </c>
      <c r="AC919" s="61">
        <v>2015.2214249096633</v>
      </c>
      <c r="AD919" s="61">
        <v>1200.2723974352318</v>
      </c>
      <c r="AE919" s="61">
        <v>709.80035330291662</v>
      </c>
      <c r="AF919" s="61">
        <v>0</v>
      </c>
      <c r="AG919" s="61">
        <f t="shared" si="1084"/>
        <v>412.89612485549702</v>
      </c>
      <c r="AH919" s="64"/>
      <c r="AI919" s="64"/>
      <c r="AJ919" s="365">
        <v>5</v>
      </c>
      <c r="AK919" s="372" t="s">
        <v>66</v>
      </c>
      <c r="AL919" s="365">
        <v>16554</v>
      </c>
      <c r="AM919" s="372" t="s">
        <v>1101</v>
      </c>
      <c r="AN919" s="453" t="s">
        <v>1096</v>
      </c>
      <c r="AO919" s="368">
        <f t="shared" si="1086"/>
        <v>26928.008142749804</v>
      </c>
      <c r="AP919" s="368">
        <f t="shared" si="1086"/>
        <v>8976.0027142499348</v>
      </c>
      <c r="AQ919" s="368">
        <f t="shared" si="1087"/>
        <v>0</v>
      </c>
      <c r="AR919" s="368">
        <f t="shared" si="1087"/>
        <v>1991.0359679999997</v>
      </c>
      <c r="AS919" s="368">
        <f t="shared" si="1087"/>
        <v>0</v>
      </c>
      <c r="AT919" s="368">
        <f t="shared" si="1087"/>
        <v>4488.0013571249674</v>
      </c>
      <c r="AU919" s="368">
        <f t="shared" si="1087"/>
        <v>897.60027142499348</v>
      </c>
      <c r="AV919" s="368">
        <f t="shared" si="1087"/>
        <v>6045.6642747289898</v>
      </c>
      <c r="AW919" s="368">
        <f t="shared" si="1087"/>
        <v>3600.8171923056952</v>
      </c>
      <c r="AX919" s="368">
        <f t="shared" si="1087"/>
        <v>2129.4010599087496</v>
      </c>
      <c r="AY919" s="368">
        <f t="shared" si="1087"/>
        <v>0</v>
      </c>
      <c r="AZ919" s="368">
        <f t="shared" si="1087"/>
        <v>1238.6883745664911</v>
      </c>
      <c r="BB919" s="64"/>
      <c r="BC919" s="66"/>
      <c r="BD919" s="66"/>
      <c r="BE919" s="66"/>
    </row>
    <row r="920" spans="1:177" s="364" customFormat="1" ht="21" customHeight="1" x14ac:dyDescent="0.2">
      <c r="B920" s="365">
        <v>6</v>
      </c>
      <c r="C920" s="376" t="s">
        <v>66</v>
      </c>
      <c r="D920" s="365">
        <v>9113</v>
      </c>
      <c r="E920" s="371" t="s">
        <v>1102</v>
      </c>
      <c r="F920" s="454" t="s">
        <v>1103</v>
      </c>
      <c r="G920" s="189">
        <v>43430</v>
      </c>
      <c r="H920" s="56" t="str">
        <f t="shared" si="1072"/>
        <v>6 AÑOS</v>
      </c>
      <c r="I920" s="57">
        <v>4484.7818949478069</v>
      </c>
      <c r="J920" s="260"/>
      <c r="K920" s="258"/>
      <c r="L920" s="259"/>
      <c r="M920" s="247">
        <v>2.696E-3</v>
      </c>
      <c r="N920" s="185">
        <f>I920*0.2696</f>
        <v>1209.0971988779288</v>
      </c>
      <c r="O920" s="58">
        <f t="shared" si="1073"/>
        <v>5693.8790938257353</v>
      </c>
      <c r="P920" s="61">
        <f t="shared" si="1074"/>
        <v>11387.758187651471</v>
      </c>
      <c r="Q920" s="61">
        <f t="shared" si="1075"/>
        <v>8540.818640738602</v>
      </c>
      <c r="R920" s="61">
        <f t="shared" si="1076"/>
        <v>2846.9395469128676</v>
      </c>
      <c r="S920" s="61">
        <f t="shared" si="1077"/>
        <v>379.59193958838233</v>
      </c>
      <c r="T920" s="58">
        <f t="shared" si="1078"/>
        <v>435.73358745350407</v>
      </c>
      <c r="U920" s="61">
        <f t="shared" si="1079"/>
        <v>4270.409320369301</v>
      </c>
      <c r="V920" s="58">
        <f t="shared" si="1080"/>
        <v>1423.4697734564338</v>
      </c>
      <c r="W920" s="62">
        <v>2.5000000000000001E-2</v>
      </c>
      <c r="X920" s="63">
        <f t="shared" si="1081"/>
        <v>284.69395469128676</v>
      </c>
      <c r="Y920" s="61">
        <v>616.25763200000006</v>
      </c>
      <c r="Z920" s="61">
        <v>0</v>
      </c>
      <c r="AA920" s="61">
        <f t="shared" si="1082"/>
        <v>1423.4697734564336</v>
      </c>
      <c r="AB920" s="61">
        <f t="shared" si="1083"/>
        <v>284.69395469128676</v>
      </c>
      <c r="AC920" s="185">
        <v>1944.105460696207</v>
      </c>
      <c r="AD920" s="185">
        <v>1142.0795193950069</v>
      </c>
      <c r="AE920" s="185">
        <v>675.38706055293142</v>
      </c>
      <c r="AF920" s="61">
        <v>0</v>
      </c>
      <c r="AG920" s="61">
        <f t="shared" si="1084"/>
        <v>392.87765747397577</v>
      </c>
      <c r="AH920" s="64"/>
      <c r="AI920" s="64"/>
      <c r="AJ920" s="365">
        <v>6</v>
      </c>
      <c r="AK920" s="376" t="s">
        <v>66</v>
      </c>
      <c r="AL920" s="365">
        <v>9113</v>
      </c>
      <c r="AM920" s="371" t="s">
        <v>1102</v>
      </c>
      <c r="AN920" s="454" t="s">
        <v>1103</v>
      </c>
      <c r="AO920" s="368">
        <f t="shared" si="1086"/>
        <v>25622.455922215806</v>
      </c>
      <c r="AP920" s="368">
        <f t="shared" si="1086"/>
        <v>8540.818640738602</v>
      </c>
      <c r="AQ920" s="368">
        <f t="shared" si="1087"/>
        <v>854.08186407386029</v>
      </c>
      <c r="AR920" s="368">
        <f t="shared" si="1087"/>
        <v>1848.7728960000002</v>
      </c>
      <c r="AS920" s="368">
        <f t="shared" si="1087"/>
        <v>0</v>
      </c>
      <c r="AT920" s="368">
        <f t="shared" si="1087"/>
        <v>4270.409320369301</v>
      </c>
      <c r="AU920" s="368">
        <f t="shared" si="1087"/>
        <v>854.08186407386029</v>
      </c>
      <c r="AV920" s="368">
        <f t="shared" si="1087"/>
        <v>5832.3163820886211</v>
      </c>
      <c r="AW920" s="368">
        <f t="shared" si="1087"/>
        <v>3426.2385581850203</v>
      </c>
      <c r="AX920" s="368">
        <f t="shared" si="1087"/>
        <v>2026.1611816587942</v>
      </c>
      <c r="AY920" s="368">
        <f t="shared" si="1087"/>
        <v>0</v>
      </c>
      <c r="AZ920" s="368">
        <f t="shared" si="1087"/>
        <v>1178.6329724219272</v>
      </c>
      <c r="BB920" s="64"/>
      <c r="BC920" s="66"/>
      <c r="BD920" s="66"/>
      <c r="BE920" s="66"/>
    </row>
    <row r="921" spans="1:177" ht="21" customHeight="1" x14ac:dyDescent="0.2">
      <c r="B921" s="67">
        <v>7</v>
      </c>
      <c r="C921" s="73" t="s">
        <v>66</v>
      </c>
      <c r="D921" s="67">
        <v>21007</v>
      </c>
      <c r="E921" s="72" t="s">
        <v>1104</v>
      </c>
      <c r="F921" s="72" t="s">
        <v>1105</v>
      </c>
      <c r="G921" s="55">
        <v>42522</v>
      </c>
      <c r="H921" s="56" t="str">
        <f t="shared" si="1072"/>
        <v>8 AÑOS</v>
      </c>
      <c r="I921" s="57">
        <v>6473.7142231648195</v>
      </c>
      <c r="J921" s="58"/>
      <c r="K921" s="58"/>
      <c r="L921" s="59"/>
      <c r="M921" s="60">
        <v>4.0000000000000002E-4</v>
      </c>
      <c r="N921" s="61">
        <f>I921*0.04</f>
        <v>258.94856892659277</v>
      </c>
      <c r="O921" s="58">
        <f t="shared" si="1073"/>
        <v>6732.6627920914125</v>
      </c>
      <c r="P921" s="61">
        <f t="shared" si="1074"/>
        <v>13465.325584182825</v>
      </c>
      <c r="Q921" s="61">
        <f t="shared" si="1075"/>
        <v>10098.99418813712</v>
      </c>
      <c r="R921" s="61">
        <f t="shared" si="1076"/>
        <v>3366.3313960457062</v>
      </c>
      <c r="S921" s="61">
        <f t="shared" si="1077"/>
        <v>448.84418613942751</v>
      </c>
      <c r="T921" s="58">
        <f t="shared" si="1078"/>
        <v>515.22824126944874</v>
      </c>
      <c r="U921" s="61">
        <f t="shared" si="1079"/>
        <v>5049.4970940685598</v>
      </c>
      <c r="V921" s="58">
        <f t="shared" si="1080"/>
        <v>1683.1656980228531</v>
      </c>
      <c r="W921" s="101">
        <v>2.5000000000000001E-2</v>
      </c>
      <c r="X921" s="63">
        <f t="shared" si="1081"/>
        <v>336.63313960457066</v>
      </c>
      <c r="Y921" s="61">
        <v>785.80983166931856</v>
      </c>
      <c r="Z921" s="61">
        <v>0</v>
      </c>
      <c r="AA921" s="61">
        <f t="shared" si="1082"/>
        <v>1683.1656980228533</v>
      </c>
      <c r="AB921" s="61">
        <f t="shared" si="1083"/>
        <v>336.63313960457066</v>
      </c>
      <c r="AC921" s="61">
        <v>2198.7360026022625</v>
      </c>
      <c r="AD921" s="61">
        <v>1350.4389817792885</v>
      </c>
      <c r="AE921" s="61">
        <v>798.60377396764557</v>
      </c>
      <c r="AF921" s="61">
        <v>0</v>
      </c>
      <c r="AG921" s="61">
        <f t="shared" si="1084"/>
        <v>464.5537326543074</v>
      </c>
      <c r="AH921" s="64"/>
      <c r="AI921" s="64"/>
      <c r="AJ921" s="67">
        <v>7</v>
      </c>
      <c r="AK921" s="73" t="s">
        <v>66</v>
      </c>
      <c r="AL921" s="67">
        <v>21007</v>
      </c>
      <c r="AM921" s="72" t="s">
        <v>1104</v>
      </c>
      <c r="AN921" s="72" t="s">
        <v>1105</v>
      </c>
      <c r="AO921" s="65">
        <f>Q921*12</f>
        <v>121187.93025764544</v>
      </c>
      <c r="AP921" s="65">
        <f>R921*12</f>
        <v>40395.976752548479</v>
      </c>
      <c r="AQ921" s="65">
        <f t="shared" ref="AQ921:AZ922" si="1088">X921*12</f>
        <v>4039.5976752548477</v>
      </c>
      <c r="AR921" s="65">
        <f t="shared" si="1088"/>
        <v>9429.7179800318227</v>
      </c>
      <c r="AS921" s="65">
        <f t="shared" si="1088"/>
        <v>0</v>
      </c>
      <c r="AT921" s="65">
        <f t="shared" si="1088"/>
        <v>20197.988376274239</v>
      </c>
      <c r="AU921" s="65">
        <f t="shared" si="1088"/>
        <v>4039.5976752548477</v>
      </c>
      <c r="AV921" s="65">
        <f t="shared" si="1088"/>
        <v>26384.83203122715</v>
      </c>
      <c r="AW921" s="65">
        <f t="shared" si="1088"/>
        <v>16205.267781351462</v>
      </c>
      <c r="AX921" s="65">
        <f t="shared" si="1088"/>
        <v>9583.2452876117459</v>
      </c>
      <c r="AY921" s="65">
        <f t="shared" si="1088"/>
        <v>0</v>
      </c>
      <c r="AZ921" s="65">
        <f t="shared" si="1088"/>
        <v>5574.6447918516888</v>
      </c>
      <c r="BB921" s="64"/>
      <c r="BC921" s="66"/>
      <c r="BD921" s="66"/>
      <c r="BE921" s="66"/>
    </row>
    <row r="922" spans="1:177" ht="21" customHeight="1" x14ac:dyDescent="0.2">
      <c r="B922" s="67">
        <v>8</v>
      </c>
      <c r="C922" s="73" t="s">
        <v>66</v>
      </c>
      <c r="D922" s="67">
        <v>21004</v>
      </c>
      <c r="E922" s="319" t="s">
        <v>1106</v>
      </c>
      <c r="F922" s="72" t="s">
        <v>412</v>
      </c>
      <c r="G922" s="157">
        <v>41122</v>
      </c>
      <c r="H922" s="56" t="str">
        <f t="shared" si="1072"/>
        <v>12 AÑOS</v>
      </c>
      <c r="I922" s="75">
        <v>4076.5321898484021</v>
      </c>
      <c r="J922" s="75"/>
      <c r="K922" s="75"/>
      <c r="L922" s="137"/>
      <c r="M922" s="60">
        <v>4.0000000000000002E-4</v>
      </c>
      <c r="N922" s="61">
        <f>I922*0.04</f>
        <v>163.0612875939361</v>
      </c>
      <c r="O922" s="58">
        <f t="shared" si="1073"/>
        <v>4239.5934774423386</v>
      </c>
      <c r="P922" s="61">
        <f t="shared" si="1074"/>
        <v>8479.1869548846771</v>
      </c>
      <c r="Q922" s="61">
        <f t="shared" si="1075"/>
        <v>6359.3902161635078</v>
      </c>
      <c r="R922" s="61">
        <f t="shared" si="1076"/>
        <v>2119.7967387211693</v>
      </c>
      <c r="S922" s="61">
        <f t="shared" si="1077"/>
        <v>282.63956516282258</v>
      </c>
      <c r="T922" s="58">
        <f t="shared" si="1078"/>
        <v>324.44195685040404</v>
      </c>
      <c r="U922" s="61">
        <f t="shared" si="1079"/>
        <v>3179.6951080817539</v>
      </c>
      <c r="V922" s="58">
        <f t="shared" si="1080"/>
        <v>1059.8983693605846</v>
      </c>
      <c r="W922" s="101">
        <v>0.05</v>
      </c>
      <c r="X922" s="63">
        <f t="shared" si="1081"/>
        <v>423.95934774423387</v>
      </c>
      <c r="Y922" s="61">
        <v>128.74091951858964</v>
      </c>
      <c r="Z922" s="61">
        <v>0</v>
      </c>
      <c r="AA922" s="61">
        <f t="shared" si="1082"/>
        <v>1059.8983693605846</v>
      </c>
      <c r="AB922" s="61">
        <f t="shared" si="1083"/>
        <v>211.97967387211693</v>
      </c>
      <c r="AC922" s="61">
        <v>1591.9677260140311</v>
      </c>
      <c r="AD922" s="61">
        <v>793.04969722728526</v>
      </c>
      <c r="AE922" s="61">
        <v>502.88503311812633</v>
      </c>
      <c r="AF922" s="61">
        <v>0</v>
      </c>
      <c r="AG922" s="61">
        <f t="shared" si="1084"/>
        <v>292.53194994352128</v>
      </c>
      <c r="AH922" s="64"/>
      <c r="AI922" s="64"/>
      <c r="AJ922" s="67">
        <v>8</v>
      </c>
      <c r="AK922" s="73" t="s">
        <v>66</v>
      </c>
      <c r="AL922" s="67">
        <v>21004</v>
      </c>
      <c r="AM922" s="319" t="s">
        <v>1106</v>
      </c>
      <c r="AN922" s="72" t="s">
        <v>412</v>
      </c>
      <c r="AO922" s="65">
        <f>Q922*12</f>
        <v>76312.68259396209</v>
      </c>
      <c r="AP922" s="65">
        <f>R922*12</f>
        <v>25437.560864654031</v>
      </c>
      <c r="AQ922" s="65">
        <f t="shared" si="1088"/>
        <v>5087.5121729308066</v>
      </c>
      <c r="AR922" s="65">
        <f t="shared" si="1088"/>
        <v>1544.8910342230756</v>
      </c>
      <c r="AS922" s="65">
        <f t="shared" si="1088"/>
        <v>0</v>
      </c>
      <c r="AT922" s="65">
        <f t="shared" si="1088"/>
        <v>12718.780432327016</v>
      </c>
      <c r="AU922" s="65">
        <f t="shared" si="1088"/>
        <v>2543.7560864654033</v>
      </c>
      <c r="AV922" s="65">
        <f t="shared" si="1088"/>
        <v>19103.612712168375</v>
      </c>
      <c r="AW922" s="65">
        <f t="shared" si="1088"/>
        <v>9516.5963667274227</v>
      </c>
      <c r="AX922" s="65">
        <f t="shared" si="1088"/>
        <v>6034.620397417516</v>
      </c>
      <c r="AY922" s="65">
        <f t="shared" si="1088"/>
        <v>0</v>
      </c>
      <c r="AZ922" s="65">
        <f t="shared" si="1088"/>
        <v>3510.3833993222552</v>
      </c>
      <c r="BB922" s="64"/>
      <c r="BC922" s="66"/>
      <c r="BD922" s="66"/>
      <c r="BE922" s="66"/>
    </row>
    <row r="923" spans="1:177" s="96" customFormat="1" ht="21" customHeight="1" x14ac:dyDescent="0.2">
      <c r="A923" s="50"/>
      <c r="B923" s="455" t="s">
        <v>99</v>
      </c>
      <c r="C923" s="456"/>
      <c r="D923" s="456"/>
      <c r="E923" s="143">
        <f>B922</f>
        <v>8</v>
      </c>
      <c r="F923" s="166" t="s">
        <v>100</v>
      </c>
      <c r="G923" s="89"/>
      <c r="H923" s="90"/>
      <c r="I923" s="91">
        <f>SUM(I917:I922)</f>
        <v>31575.398136920965</v>
      </c>
      <c r="J923" s="91">
        <f t="shared" ref="J923:AG923" si="1089">SUM(J917:J922)</f>
        <v>5984.31</v>
      </c>
      <c r="K923" s="91">
        <f t="shared" si="1089"/>
        <v>1070.9330318581524</v>
      </c>
      <c r="L923" s="91">
        <f t="shared" si="1089"/>
        <v>21.796272478216956</v>
      </c>
      <c r="M923" s="91">
        <f t="shared" si="1089"/>
        <v>6.4760000000000009E-3</v>
      </c>
      <c r="N923" s="91">
        <f t="shared" si="1089"/>
        <v>3166.8116111892896</v>
      </c>
      <c r="O923" s="91">
        <f t="shared" si="1089"/>
        <v>34742.209748110254</v>
      </c>
      <c r="P923" s="91">
        <f t="shared" si="1089"/>
        <v>69484.419496220507</v>
      </c>
      <c r="Q923" s="91">
        <f t="shared" si="1089"/>
        <v>52113.314622165373</v>
      </c>
      <c r="R923" s="91">
        <f t="shared" si="1089"/>
        <v>17371.104874055127</v>
      </c>
      <c r="S923" s="91">
        <f t="shared" si="1089"/>
        <v>2316.1473165406837</v>
      </c>
      <c r="T923" s="91">
        <f t="shared" si="1089"/>
        <v>2658.7055046570504</v>
      </c>
      <c r="U923" s="91">
        <f t="shared" si="1089"/>
        <v>26056.657311082687</v>
      </c>
      <c r="V923" s="91">
        <f t="shared" si="1089"/>
        <v>8685.5524370275634</v>
      </c>
      <c r="W923" s="91">
        <f t="shared" si="1089"/>
        <v>0.1</v>
      </c>
      <c r="X923" s="91">
        <f t="shared" si="1089"/>
        <v>1045.2864420400913</v>
      </c>
      <c r="Y923" s="91">
        <f t="shared" si="1089"/>
        <v>3541.9918114688403</v>
      </c>
      <c r="Z923" s="91">
        <f t="shared" si="1089"/>
        <v>0</v>
      </c>
      <c r="AA923" s="91">
        <f t="shared" si="1089"/>
        <v>8685.5524370275634</v>
      </c>
      <c r="AB923" s="91">
        <f t="shared" si="1089"/>
        <v>1737.1104874055129</v>
      </c>
      <c r="AC923" s="91">
        <f t="shared" si="1089"/>
        <v>11810.885710225783</v>
      </c>
      <c r="AD923" s="91">
        <f t="shared" si="1089"/>
        <v>6911.2711692058965</v>
      </c>
      <c r="AE923" s="91">
        <f t="shared" si="1089"/>
        <v>4120.9935322184283</v>
      </c>
      <c r="AF923" s="91">
        <f t="shared" si="1089"/>
        <v>0</v>
      </c>
      <c r="AG923" s="91">
        <f t="shared" si="1089"/>
        <v>2397.2124726196075</v>
      </c>
      <c r="AH923" s="92"/>
      <c r="AI923" s="92"/>
      <c r="AJ923" s="455" t="s">
        <v>99</v>
      </c>
      <c r="AK923" s="456"/>
      <c r="AL923" s="456"/>
      <c r="AM923" s="143">
        <f>AJ922</f>
        <v>8</v>
      </c>
      <c r="AN923" s="166" t="s">
        <v>100</v>
      </c>
      <c r="AO923" s="93">
        <f>SUM(AO917:AO922)</f>
        <v>382572.74385606137</v>
      </c>
      <c r="AP923" s="93">
        <f t="shared" ref="AP923:AZ923" si="1090">SUM(AP917:AP922)</f>
        <v>127524.24795202048</v>
      </c>
      <c r="AQ923" s="93">
        <f t="shared" si="1090"/>
        <v>9981.191712259515</v>
      </c>
      <c r="AR923" s="93">
        <f t="shared" si="1090"/>
        <v>24538.364201271215</v>
      </c>
      <c r="AS923" s="93">
        <f t="shared" si="1090"/>
        <v>0</v>
      </c>
      <c r="AT923" s="93">
        <f t="shared" si="1090"/>
        <v>63762.12397601024</v>
      </c>
      <c r="AU923" s="93">
        <f t="shared" si="1090"/>
        <v>12752.424795202049</v>
      </c>
      <c r="AV923" s="93">
        <f t="shared" si="1090"/>
        <v>87248.570976785559</v>
      </c>
      <c r="AW923" s="93">
        <f t="shared" si="1090"/>
        <v>50469.736608779858</v>
      </c>
      <c r="AX923" s="93">
        <f t="shared" si="1090"/>
        <v>30252.917406319018</v>
      </c>
      <c r="AY923" s="93">
        <f t="shared" si="1090"/>
        <v>0</v>
      </c>
      <c r="AZ923" s="93">
        <f t="shared" si="1090"/>
        <v>17598.346217378821</v>
      </c>
      <c r="BA923" s="94"/>
      <c r="BB923" s="92"/>
      <c r="BC923" s="95"/>
      <c r="BD923" s="95"/>
      <c r="BE923" s="95"/>
      <c r="BF923" s="50"/>
      <c r="BG923" s="50"/>
      <c r="BH923" s="50"/>
      <c r="BI923" s="50"/>
      <c r="BJ923" s="50"/>
      <c r="BK923" s="50"/>
      <c r="BL923" s="50"/>
      <c r="BM923" s="50"/>
      <c r="BN923" s="50"/>
      <c r="BO923" s="50"/>
      <c r="BP923" s="50"/>
      <c r="BQ923" s="50"/>
      <c r="BR923" s="50"/>
      <c r="BS923" s="50"/>
      <c r="BT923" s="50"/>
      <c r="BU923" s="50"/>
      <c r="BV923" s="50"/>
      <c r="BW923" s="50"/>
      <c r="BX923" s="50"/>
      <c r="BY923" s="50"/>
      <c r="BZ923" s="50"/>
      <c r="CA923" s="50"/>
      <c r="CB923" s="50"/>
      <c r="CC923" s="50"/>
      <c r="CD923" s="50"/>
      <c r="CE923" s="50"/>
      <c r="CF923" s="50"/>
      <c r="CG923" s="50"/>
      <c r="CH923" s="50"/>
      <c r="CI923" s="50"/>
      <c r="CJ923" s="50"/>
      <c r="CK923" s="50"/>
      <c r="CL923" s="50"/>
      <c r="CM923" s="50"/>
      <c r="CN923" s="50"/>
      <c r="CO923" s="50"/>
      <c r="CP923" s="50"/>
      <c r="CQ923" s="50"/>
      <c r="CR923" s="50"/>
      <c r="CS923" s="50"/>
      <c r="CT923" s="50"/>
      <c r="CU923" s="50"/>
      <c r="CV923" s="50"/>
      <c r="CW923" s="50"/>
      <c r="CX923" s="50"/>
      <c r="CY923" s="50"/>
      <c r="CZ923" s="50"/>
      <c r="DA923" s="50"/>
      <c r="DB923" s="50"/>
      <c r="DC923" s="50"/>
      <c r="DD923" s="50"/>
      <c r="DE923" s="50"/>
      <c r="DF923" s="50"/>
      <c r="DG923" s="50"/>
      <c r="DH923" s="50"/>
      <c r="DI923" s="50"/>
      <c r="DJ923" s="50"/>
      <c r="DK923" s="50"/>
      <c r="DL923" s="50"/>
      <c r="DM923" s="50"/>
      <c r="DN923" s="50"/>
      <c r="DO923" s="50"/>
      <c r="DP923" s="50"/>
      <c r="DQ923" s="50"/>
      <c r="DR923" s="50"/>
      <c r="DS923" s="50"/>
      <c r="DT923" s="50"/>
      <c r="DU923" s="50"/>
      <c r="DV923" s="50"/>
      <c r="DW923" s="50"/>
      <c r="DX923" s="50"/>
      <c r="DY923" s="50"/>
      <c r="DZ923" s="50"/>
      <c r="EA923" s="50"/>
      <c r="EB923" s="50"/>
      <c r="EC923" s="50"/>
      <c r="ED923" s="50"/>
      <c r="EE923" s="50"/>
      <c r="EF923" s="50"/>
      <c r="EG923" s="50"/>
      <c r="EH923" s="50"/>
      <c r="EI923" s="50"/>
      <c r="EJ923" s="50"/>
      <c r="EK923" s="50"/>
      <c r="EL923" s="50"/>
      <c r="EM923" s="50"/>
      <c r="EN923" s="50"/>
      <c r="EO923" s="50"/>
      <c r="EP923" s="50"/>
      <c r="EQ923" s="50"/>
      <c r="ER923" s="50"/>
      <c r="ES923" s="50"/>
      <c r="ET923" s="50"/>
      <c r="EU923" s="50"/>
      <c r="EV923" s="50"/>
      <c r="EW923" s="50"/>
      <c r="EX923" s="50"/>
      <c r="EY923" s="50"/>
      <c r="EZ923" s="50"/>
      <c r="FA923" s="50"/>
      <c r="FB923" s="50"/>
      <c r="FC923" s="50"/>
      <c r="FD923" s="50"/>
      <c r="FE923" s="50"/>
      <c r="FF923" s="50"/>
      <c r="FG923" s="50"/>
      <c r="FH923" s="50"/>
      <c r="FI923" s="50"/>
      <c r="FJ923" s="50"/>
      <c r="FK923" s="50"/>
      <c r="FL923" s="50"/>
      <c r="FM923" s="50"/>
      <c r="FN923" s="50"/>
      <c r="FO923" s="50"/>
      <c r="FP923" s="50"/>
      <c r="FQ923" s="50"/>
      <c r="FR923" s="50"/>
      <c r="FS923" s="50"/>
      <c r="FT923" s="50"/>
      <c r="FU923" s="50"/>
    </row>
    <row r="924" spans="1:177" ht="21" customHeight="1" x14ac:dyDescent="0.2">
      <c r="B924" s="457" t="s">
        <v>101</v>
      </c>
      <c r="C924" s="458"/>
      <c r="D924" s="458"/>
      <c r="E924" s="76">
        <v>4</v>
      </c>
      <c r="F924" s="122" t="s">
        <v>1107</v>
      </c>
      <c r="G924" s="320"/>
      <c r="H924" s="147"/>
      <c r="I924" s="57">
        <f t="shared" ref="I924:AG924" si="1091">I916+I923</f>
        <v>48554.817219359051</v>
      </c>
      <c r="J924" s="57">
        <f t="shared" si="1091"/>
        <v>11968.62</v>
      </c>
      <c r="K924" s="57">
        <f t="shared" si="1091"/>
        <v>2141.8660637163048</v>
      </c>
      <c r="L924" s="74">
        <f t="shared" si="1091"/>
        <v>43.592544956433912</v>
      </c>
      <c r="M924" s="57">
        <f t="shared" si="1091"/>
        <v>9.0560000000000015E-3</v>
      </c>
      <c r="N924" s="57">
        <f t="shared" si="1091"/>
        <v>4720.0781371192479</v>
      </c>
      <c r="O924" s="57">
        <f t="shared" si="1091"/>
        <v>53274.895356478301</v>
      </c>
      <c r="P924" s="57">
        <f t="shared" si="1091"/>
        <v>106549.7907129566</v>
      </c>
      <c r="Q924" s="57">
        <f t="shared" si="1091"/>
        <v>79912.343034717429</v>
      </c>
      <c r="R924" s="57">
        <f t="shared" si="1091"/>
        <v>26637.44767823915</v>
      </c>
      <c r="S924" s="57">
        <f t="shared" si="1091"/>
        <v>3551.6596904318867</v>
      </c>
      <c r="T924" s="57">
        <f t="shared" si="1091"/>
        <v>4076.9501586467618</v>
      </c>
      <c r="U924" s="81">
        <f t="shared" si="1091"/>
        <v>39956.171517358714</v>
      </c>
      <c r="V924" s="57">
        <f t="shared" si="1091"/>
        <v>13318.723839119575</v>
      </c>
      <c r="W924" s="57">
        <f t="shared" si="1091"/>
        <v>0.1</v>
      </c>
      <c r="X924" s="57">
        <f t="shared" si="1091"/>
        <v>1045.2864420400913</v>
      </c>
      <c r="Y924" s="57">
        <f t="shared" si="1091"/>
        <v>6580.1448046261758</v>
      </c>
      <c r="Z924" s="57">
        <f t="shared" si="1091"/>
        <v>0</v>
      </c>
      <c r="AA924" s="57">
        <f t="shared" si="1091"/>
        <v>13318.723839119575</v>
      </c>
      <c r="AB924" s="57">
        <f t="shared" si="1091"/>
        <v>2663.744767823915</v>
      </c>
      <c r="AC924" s="57">
        <f t="shared" si="1091"/>
        <v>17450.487940563435</v>
      </c>
      <c r="AD924" s="57">
        <f t="shared" si="1091"/>
        <v>10628.56131954563</v>
      </c>
      <c r="AE924" s="57">
        <f t="shared" si="1091"/>
        <v>6319.2727459024809</v>
      </c>
      <c r="AF924" s="57">
        <f t="shared" si="1091"/>
        <v>0</v>
      </c>
      <c r="AG924" s="57">
        <f t="shared" si="1091"/>
        <v>3675.9677795970024</v>
      </c>
      <c r="AH924" s="92">
        <f>Q924+R924-Y924+Z924+X924+AA924+AB924+AC924+AD924+AE924+AF924+AG924</f>
        <v>155071.69074292251</v>
      </c>
      <c r="AI924" s="92">
        <f>AH924*12</f>
        <v>1860860.2889150702</v>
      </c>
      <c r="AJ924" s="457" t="s">
        <v>101</v>
      </c>
      <c r="AK924" s="458"/>
      <c r="AL924" s="458"/>
      <c r="AM924" s="76">
        <v>4</v>
      </c>
      <c r="AN924" s="122" t="s">
        <v>1107</v>
      </c>
      <c r="AO924" s="149">
        <f t="shared" ref="AO924:AZ924" si="1092">AO916+AO923</f>
        <v>635377.0603784367</v>
      </c>
      <c r="AP924" s="149">
        <f t="shared" si="1092"/>
        <v>211792.35345947894</v>
      </c>
      <c r="AQ924" s="149">
        <f t="shared" si="1092"/>
        <v>9981.191712259515</v>
      </c>
      <c r="AR924" s="149">
        <f t="shared" si="1092"/>
        <v>55023.092215159239</v>
      </c>
      <c r="AS924" s="149">
        <f t="shared" si="1092"/>
        <v>0</v>
      </c>
      <c r="AT924" s="149">
        <f t="shared" si="1092"/>
        <v>105896.17672973947</v>
      </c>
      <c r="AU924" s="149">
        <f t="shared" si="1092"/>
        <v>21179.235345947891</v>
      </c>
      <c r="AV924" s="149">
        <f t="shared" si="1092"/>
        <v>136786.80491665041</v>
      </c>
      <c r="AW924" s="149">
        <f t="shared" si="1092"/>
        <v>84274.766835939576</v>
      </c>
      <c r="AX924" s="149">
        <f t="shared" si="1092"/>
        <v>50244.064790801407</v>
      </c>
      <c r="AY924" s="149">
        <f t="shared" si="1092"/>
        <v>0</v>
      </c>
      <c r="AZ924" s="149">
        <f t="shared" si="1092"/>
        <v>29227.344777408085</v>
      </c>
      <c r="BA924" s="152"/>
      <c r="BB924" s="92">
        <f>AO924+AP924+AQ924-AR924+AS924+AU924+AV924+AT924+AW924+AX924+AY924+AZ924</f>
        <v>1229735.9067315029</v>
      </c>
      <c r="BC924" s="95"/>
      <c r="BD924" s="95"/>
      <c r="BE924" s="95"/>
    </row>
    <row r="925" spans="1:177" ht="21" customHeight="1" x14ac:dyDescent="0.2">
      <c r="B925" s="457" t="s">
        <v>103</v>
      </c>
      <c r="C925" s="458"/>
      <c r="D925" s="458"/>
      <c r="E925" s="76">
        <f>E923-E924</f>
        <v>4</v>
      </c>
      <c r="F925" s="73"/>
      <c r="G925" s="484"/>
      <c r="H925" s="479"/>
      <c r="I925" s="479"/>
      <c r="J925" s="479"/>
      <c r="K925" s="479"/>
      <c r="L925" s="479"/>
      <c r="M925" s="479"/>
      <c r="N925" s="479"/>
      <c r="O925" s="479"/>
      <c r="P925" s="479"/>
      <c r="Q925" s="479"/>
      <c r="R925" s="479"/>
      <c r="S925" s="479"/>
      <c r="T925" s="479"/>
      <c r="U925" s="479"/>
      <c r="V925" s="479"/>
      <c r="W925" s="479"/>
      <c r="X925" s="479"/>
      <c r="Y925" s="479"/>
      <c r="Z925" s="479"/>
      <c r="AA925" s="479"/>
      <c r="AB925" s="479"/>
      <c r="AC925" s="479"/>
      <c r="AD925" s="479"/>
      <c r="AE925" s="479"/>
      <c r="AF925" s="479"/>
      <c r="AG925" s="480"/>
      <c r="AH925" s="92"/>
      <c r="AI925" s="92"/>
      <c r="AJ925" s="457" t="s">
        <v>103</v>
      </c>
      <c r="AK925" s="458"/>
      <c r="AL925" s="458"/>
      <c r="AM925" s="76">
        <f>AM923-AM924</f>
        <v>4</v>
      </c>
      <c r="AN925" s="73"/>
      <c r="AO925" s="484"/>
      <c r="AP925" s="479"/>
      <c r="AQ925" s="479"/>
      <c r="AR925" s="479"/>
      <c r="AS925" s="479"/>
      <c r="AT925" s="479"/>
      <c r="AU925" s="479"/>
      <c r="AV925" s="479"/>
      <c r="AW925" s="479"/>
      <c r="AX925" s="479"/>
      <c r="AY925" s="479"/>
      <c r="AZ925" s="480"/>
      <c r="BA925" s="152"/>
      <c r="BB925" s="92"/>
      <c r="BC925" s="95"/>
      <c r="BD925" s="95"/>
      <c r="BE925" s="95"/>
    </row>
    <row r="926" spans="1:177" ht="21" customHeight="1" x14ac:dyDescent="0.2">
      <c r="B926" s="5"/>
      <c r="C926" s="94"/>
      <c r="D926" s="5"/>
      <c r="E926" s="94"/>
      <c r="G926" s="27"/>
      <c r="H926" s="27"/>
      <c r="I926" s="95"/>
      <c r="J926" s="95"/>
      <c r="K926" s="95"/>
      <c r="L926" s="27"/>
      <c r="M926" s="128"/>
      <c r="N926" s="66"/>
      <c r="O926" s="95"/>
      <c r="P926" s="66"/>
      <c r="Q926" s="66"/>
      <c r="R926" s="66"/>
      <c r="S926" s="66"/>
      <c r="T926" s="95"/>
      <c r="U926" s="66"/>
      <c r="V926" s="95"/>
      <c r="W926" s="129"/>
      <c r="X926" s="130"/>
      <c r="Y926" s="66"/>
      <c r="Z926" s="66"/>
      <c r="AA926" s="66"/>
      <c r="AB926" s="66"/>
      <c r="AC926" s="66"/>
      <c r="AD926" s="66"/>
      <c r="AE926" s="66"/>
      <c r="AF926" s="66"/>
      <c r="AG926" s="66"/>
      <c r="AH926" s="64"/>
      <c r="AI926" s="64"/>
      <c r="AJ926" s="5"/>
      <c r="AK926" s="94"/>
      <c r="AL926" s="94"/>
      <c r="AM926" s="94"/>
      <c r="AO926" s="153"/>
      <c r="AP926" s="153"/>
      <c r="AQ926" s="153"/>
      <c r="AR926" s="153"/>
      <c r="AS926" s="153"/>
      <c r="AT926" s="153"/>
      <c r="AU926" s="153"/>
      <c r="AV926" s="153"/>
      <c r="AW926" s="153"/>
      <c r="AX926" s="153"/>
      <c r="AY926" s="153"/>
      <c r="AZ926" s="153"/>
      <c r="BA926" s="152"/>
      <c r="BB926" s="92"/>
      <c r="BC926" s="95"/>
      <c r="BD926" s="95"/>
      <c r="BE926" s="95"/>
    </row>
    <row r="927" spans="1:177" ht="21" customHeight="1" thickBot="1" x14ac:dyDescent="0.25">
      <c r="B927" s="5"/>
      <c r="C927" s="94"/>
      <c r="D927" s="5"/>
      <c r="E927" s="94"/>
      <c r="G927" s="27"/>
      <c r="H927" s="27"/>
      <c r="I927" s="95"/>
      <c r="J927" s="95"/>
      <c r="K927" s="95"/>
      <c r="L927" s="27"/>
      <c r="M927" s="128"/>
      <c r="N927" s="66"/>
      <c r="O927" s="95"/>
      <c r="P927" s="66"/>
      <c r="Q927" s="66"/>
      <c r="R927" s="66"/>
      <c r="S927" s="66"/>
      <c r="T927" s="95"/>
      <c r="U927" s="66"/>
      <c r="V927" s="95"/>
      <c r="W927" s="129"/>
      <c r="X927" s="130"/>
      <c r="Y927" s="66"/>
      <c r="Z927" s="66"/>
      <c r="AA927" s="66"/>
      <c r="AB927" s="66"/>
      <c r="AC927" s="66"/>
      <c r="AD927" s="66"/>
      <c r="AE927" s="66"/>
      <c r="AF927" s="66"/>
      <c r="AG927" s="66"/>
      <c r="AH927" s="64"/>
      <c r="AI927" s="64"/>
      <c r="AJ927" s="5"/>
      <c r="AK927" s="94"/>
      <c r="AL927" s="94"/>
      <c r="AM927" s="94"/>
      <c r="AO927" s="153"/>
      <c r="AP927" s="153"/>
      <c r="AQ927" s="153"/>
      <c r="AR927" s="153"/>
      <c r="AS927" s="153"/>
      <c r="AT927" s="153"/>
      <c r="AU927" s="153"/>
      <c r="AV927" s="153"/>
      <c r="AW927" s="153"/>
      <c r="AX927" s="153"/>
      <c r="AY927" s="153"/>
      <c r="AZ927" s="153"/>
      <c r="BA927" s="152"/>
      <c r="BB927" s="92"/>
      <c r="BC927" s="95"/>
      <c r="BD927" s="95"/>
      <c r="BE927" s="95"/>
    </row>
    <row r="928" spans="1:177" ht="21" customHeight="1" x14ac:dyDescent="0.2">
      <c r="B928" s="5"/>
      <c r="C928" s="94"/>
      <c r="D928" s="5"/>
      <c r="E928" s="321"/>
      <c r="F928" s="321"/>
      <c r="G928" s="322"/>
      <c r="H928" s="322"/>
      <c r="I928" s="95"/>
      <c r="J928" s="95"/>
      <c r="K928" s="95"/>
      <c r="L928" s="27"/>
      <c r="M928" s="27"/>
      <c r="N928" s="95"/>
      <c r="O928" s="95"/>
      <c r="P928" s="323" t="s">
        <v>10</v>
      </c>
      <c r="Q928" s="324" t="s">
        <v>11</v>
      </c>
      <c r="R928" s="323" t="s">
        <v>12</v>
      </c>
      <c r="S928" s="325" t="s">
        <v>11</v>
      </c>
      <c r="T928" s="326" t="s">
        <v>13</v>
      </c>
      <c r="U928" s="327" t="s">
        <v>11</v>
      </c>
      <c r="V928" s="328" t="s">
        <v>12</v>
      </c>
      <c r="W928" s="18" t="s">
        <v>14</v>
      </c>
      <c r="X928" s="329" t="s">
        <v>15</v>
      </c>
      <c r="Y928" s="326" t="s">
        <v>16</v>
      </c>
      <c r="Z928" s="324" t="s">
        <v>17</v>
      </c>
      <c r="AA928" s="330" t="s">
        <v>18</v>
      </c>
      <c r="AB928" s="328" t="s">
        <v>19</v>
      </c>
      <c r="AC928" s="324" t="s">
        <v>20</v>
      </c>
      <c r="AD928" s="324" t="s">
        <v>21</v>
      </c>
      <c r="AE928" s="324" t="s">
        <v>22</v>
      </c>
      <c r="AF928" s="328" t="s">
        <v>23</v>
      </c>
      <c r="AG928" s="323" t="s">
        <v>24</v>
      </c>
      <c r="AH928" s="132"/>
      <c r="AI928" s="132"/>
      <c r="AJ928" s="5"/>
      <c r="AK928" s="94"/>
      <c r="AL928" s="94"/>
      <c r="AM928" s="321"/>
      <c r="AN928" s="321"/>
      <c r="AO928" s="22" t="s">
        <v>11</v>
      </c>
      <c r="AP928" s="12" t="s">
        <v>12</v>
      </c>
      <c r="AQ928" s="23" t="s">
        <v>15</v>
      </c>
      <c r="AR928" s="22" t="s">
        <v>16</v>
      </c>
      <c r="AS928" s="22" t="s">
        <v>25</v>
      </c>
      <c r="AT928" s="20" t="s">
        <v>26</v>
      </c>
      <c r="AU928" s="24" t="s">
        <v>27</v>
      </c>
      <c r="AV928" s="23" t="s">
        <v>20</v>
      </c>
      <c r="AW928" s="22" t="s">
        <v>28</v>
      </c>
      <c r="AX928" s="22" t="s">
        <v>29</v>
      </c>
      <c r="AY928" s="25" t="s">
        <v>23</v>
      </c>
      <c r="AZ928" s="24" t="s">
        <v>24</v>
      </c>
      <c r="BA928" s="94"/>
      <c r="BB928" s="92"/>
      <c r="BC928" s="95"/>
      <c r="BD928" s="95"/>
      <c r="BE928" s="95"/>
    </row>
    <row r="929" spans="2:65" ht="21" customHeight="1" thickBot="1" x14ac:dyDescent="0.25">
      <c r="B929" s="5"/>
      <c r="C929" s="94"/>
      <c r="D929" s="5"/>
      <c r="E929" s="321"/>
      <c r="F929" s="321"/>
      <c r="G929" s="331"/>
      <c r="H929" s="331"/>
      <c r="I929" s="95"/>
      <c r="J929" s="95"/>
      <c r="K929" s="95"/>
      <c r="L929" s="27"/>
      <c r="M929" s="27"/>
      <c r="N929" s="95"/>
      <c r="O929" s="95"/>
      <c r="P929" s="332" t="s">
        <v>34</v>
      </c>
      <c r="Q929" s="333" t="s">
        <v>35</v>
      </c>
      <c r="R929" s="332" t="s">
        <v>36</v>
      </c>
      <c r="S929" s="334" t="s">
        <v>37</v>
      </c>
      <c r="T929" s="335" t="s">
        <v>38</v>
      </c>
      <c r="U929" s="336" t="s">
        <v>39</v>
      </c>
      <c r="V929" s="334" t="s">
        <v>39</v>
      </c>
      <c r="W929" s="44" t="s">
        <v>15</v>
      </c>
      <c r="X929" s="337" t="s">
        <v>35</v>
      </c>
      <c r="Y929" s="335" t="s">
        <v>35</v>
      </c>
      <c r="Z929" s="333" t="s">
        <v>35</v>
      </c>
      <c r="AA929" s="338" t="s">
        <v>35</v>
      </c>
      <c r="AB929" s="334" t="s">
        <v>35</v>
      </c>
      <c r="AC929" s="333" t="s">
        <v>35</v>
      </c>
      <c r="AD929" s="333" t="s">
        <v>35</v>
      </c>
      <c r="AE929" s="333" t="s">
        <v>35</v>
      </c>
      <c r="AF929" s="334" t="s">
        <v>35</v>
      </c>
      <c r="AG929" s="333" t="s">
        <v>35</v>
      </c>
      <c r="AH929" s="135"/>
      <c r="AI929" s="135"/>
      <c r="AJ929" s="5"/>
      <c r="AK929" s="94"/>
      <c r="AL929" s="94"/>
      <c r="AM929" s="321"/>
      <c r="AN929" s="321"/>
      <c r="AO929" s="40" t="s">
        <v>40</v>
      </c>
      <c r="AP929" s="39" t="s">
        <v>41</v>
      </c>
      <c r="AQ929" s="48" t="s">
        <v>40</v>
      </c>
      <c r="AR929" s="49" t="s">
        <v>40</v>
      </c>
      <c r="AS929" s="49" t="s">
        <v>40</v>
      </c>
      <c r="AT929" s="46" t="s">
        <v>40</v>
      </c>
      <c r="AU929" s="49" t="s">
        <v>40</v>
      </c>
      <c r="AV929" s="48" t="s">
        <v>40</v>
      </c>
      <c r="AW929" s="49" t="s">
        <v>40</v>
      </c>
      <c r="AX929" s="49" t="s">
        <v>40</v>
      </c>
      <c r="AY929" s="48" t="s">
        <v>40</v>
      </c>
      <c r="AZ929" s="49" t="s">
        <v>40</v>
      </c>
      <c r="BA929" s="94"/>
      <c r="BB929" s="92"/>
      <c r="BC929" s="95"/>
      <c r="BD929" s="95"/>
      <c r="BE929" s="95"/>
    </row>
    <row r="930" spans="2:65" ht="21" customHeight="1" x14ac:dyDescent="0.2">
      <c r="B930" s="5"/>
      <c r="C930" s="94"/>
      <c r="D930" s="5"/>
      <c r="E930" s="321"/>
      <c r="F930" s="94"/>
      <c r="G930" s="27"/>
      <c r="H930" s="27"/>
      <c r="I930" s="152"/>
      <c r="J930" s="152"/>
      <c r="K930" s="152"/>
      <c r="L930" s="153"/>
      <c r="M930" s="27"/>
      <c r="N930" s="95"/>
      <c r="O930" s="27" t="s">
        <v>1108</v>
      </c>
      <c r="P930" s="339">
        <f t="shared" ref="P930:AG930" si="1093">P17+P44+P66+P82+P106+P157+P207+P215+P226+P286+P304+P322+P338+P371+P396+P433+P614+P639+P810+P861+P887+P898+P916</f>
        <v>5694432.7464479459</v>
      </c>
      <c r="Q930" s="339">
        <f t="shared" si="1093"/>
        <v>4270824.5598359592</v>
      </c>
      <c r="R930" s="339">
        <f t="shared" si="1093"/>
        <v>1423608.1866119865</v>
      </c>
      <c r="S930" s="339">
        <f t="shared" si="1093"/>
        <v>189814.4248815981</v>
      </c>
      <c r="T930" s="339">
        <f t="shared" si="1093"/>
        <v>217887.97832158633</v>
      </c>
      <c r="U930" s="340">
        <f t="shared" si="1093"/>
        <v>2135412.2799179796</v>
      </c>
      <c r="V930" s="339">
        <f t="shared" si="1093"/>
        <v>711804.09330599324</v>
      </c>
      <c r="W930" s="149">
        <f t="shared" si="1093"/>
        <v>0</v>
      </c>
      <c r="X930" s="339">
        <f t="shared" si="1093"/>
        <v>0</v>
      </c>
      <c r="Y930" s="339">
        <f t="shared" si="1093"/>
        <v>463135.94919814059</v>
      </c>
      <c r="Z930" s="339">
        <f t="shared" si="1093"/>
        <v>0</v>
      </c>
      <c r="AA930" s="339">
        <f t="shared" si="1093"/>
        <v>711804.09330599324</v>
      </c>
      <c r="AB930" s="339">
        <f t="shared" si="1093"/>
        <v>129110.77945806447</v>
      </c>
      <c r="AC930" s="339">
        <f t="shared" si="1093"/>
        <v>781509.96225001139</v>
      </c>
      <c r="AD930" s="339">
        <f t="shared" si="1093"/>
        <v>505351.70596300811</v>
      </c>
      <c r="AE930" s="339">
        <f t="shared" si="1093"/>
        <v>300687.42134706688</v>
      </c>
      <c r="AF930" s="339">
        <f t="shared" si="1093"/>
        <v>52022.288844525763</v>
      </c>
      <c r="AG930" s="339">
        <f t="shared" si="1093"/>
        <v>195841.44377968207</v>
      </c>
      <c r="AH930" s="341"/>
      <c r="AI930" s="341"/>
      <c r="AJ930" s="5"/>
      <c r="AK930" s="94"/>
      <c r="AL930" s="94"/>
      <c r="AM930" s="321"/>
      <c r="AN930" s="94"/>
      <c r="AO930" s="339">
        <f t="shared" ref="AO930:AZ930" si="1094">AO17+AO44+AO66+AO82+AO106+AO157+AO207+AO215+AO226+AO286+AO304+AO322+AO338+AO371+AO396+AO433+AO614+AO639+AO810+AO861+AO887+AO898+AO916</f>
        <v>49507002.093389489</v>
      </c>
      <c r="AP930" s="339">
        <f t="shared" si="1094"/>
        <v>16502334.021129837</v>
      </c>
      <c r="AQ930" s="339">
        <f t="shared" si="1094"/>
        <v>0</v>
      </c>
      <c r="AR930" s="339">
        <f t="shared" si="1094"/>
        <v>5384432.4711797889</v>
      </c>
      <c r="AS930" s="339">
        <f t="shared" si="1094"/>
        <v>0</v>
      </c>
      <c r="AT930" s="339">
        <f t="shared" si="1094"/>
        <v>8251167.0155649194</v>
      </c>
      <c r="AU930" s="339">
        <f t="shared" si="1094"/>
        <v>1491232.9226753705</v>
      </c>
      <c r="AV930" s="339">
        <f t="shared" si="1094"/>
        <v>9024227.1565932091</v>
      </c>
      <c r="AW930" s="339">
        <f t="shared" si="1094"/>
        <v>5832873.385690365</v>
      </c>
      <c r="AX930" s="339">
        <f t="shared" si="1094"/>
        <v>3470234.1258878368</v>
      </c>
      <c r="AY930" s="339">
        <f t="shared" si="1094"/>
        <v>624267.46613430895</v>
      </c>
      <c r="AZ930" s="339">
        <f t="shared" si="1094"/>
        <v>2269924.2694226555</v>
      </c>
      <c r="BA930" s="94"/>
      <c r="BB930" s="92"/>
      <c r="BC930" s="95"/>
      <c r="BD930" s="95"/>
      <c r="BE930" s="95"/>
    </row>
    <row r="931" spans="2:65" ht="21" customHeight="1" x14ac:dyDescent="0.2">
      <c r="B931" s="5"/>
      <c r="C931" s="94"/>
      <c r="D931" s="5"/>
      <c r="E931" s="321"/>
      <c r="F931" s="321"/>
      <c r="G931" s="27"/>
      <c r="H931" s="5"/>
      <c r="I931" s="152"/>
      <c r="J931" s="152"/>
      <c r="K931" s="152"/>
      <c r="L931" s="153"/>
      <c r="M931" s="27"/>
      <c r="N931" s="95"/>
      <c r="O931" s="27" t="s">
        <v>1109</v>
      </c>
      <c r="P931" s="342">
        <f t="shared" ref="P931:AG931" si="1095">P35+P49+P73+P133+P192+P217+P277+P293+P314+P325+P357+P385+P422+P604+P631+P661+P863+P904+P923</f>
        <v>4244309.3523165639</v>
      </c>
      <c r="Q931" s="342">
        <f t="shared" si="1095"/>
        <v>3183232.0142374234</v>
      </c>
      <c r="R931" s="342">
        <f t="shared" si="1095"/>
        <v>1061077.338079141</v>
      </c>
      <c r="S931" s="342">
        <f t="shared" si="1095"/>
        <v>141476.97841055214</v>
      </c>
      <c r="T931" s="342">
        <f t="shared" si="1095"/>
        <v>162401.42351747287</v>
      </c>
      <c r="U931" s="342">
        <f t="shared" si="1095"/>
        <v>1591616.0071187117</v>
      </c>
      <c r="V931" s="342">
        <f t="shared" si="1095"/>
        <v>530538.66903957049</v>
      </c>
      <c r="W931" s="342">
        <f t="shared" si="1095"/>
        <v>15.250000000000005</v>
      </c>
      <c r="X931" s="342">
        <f t="shared" si="1095"/>
        <v>149452.03092053055</v>
      </c>
      <c r="Y931" s="342">
        <f t="shared" si="1095"/>
        <v>155637.45664676512</v>
      </c>
      <c r="Z931" s="342">
        <f t="shared" si="1095"/>
        <v>2783.4458194452654</v>
      </c>
      <c r="AA931" s="342">
        <f t="shared" si="1095"/>
        <v>530538.66903957049</v>
      </c>
      <c r="AB931" s="342">
        <f t="shared" si="1095"/>
        <v>106107.73380791421</v>
      </c>
      <c r="AC931" s="342">
        <f t="shared" si="1095"/>
        <v>759807.28179746098</v>
      </c>
      <c r="AD931" s="342">
        <f t="shared" si="1095"/>
        <v>408563.12642946711</v>
      </c>
      <c r="AE931" s="342">
        <f t="shared" si="1095"/>
        <v>251754.01352859233</v>
      </c>
      <c r="AF931" s="342">
        <f t="shared" si="1095"/>
        <v>0</v>
      </c>
      <c r="AG931" s="342">
        <f t="shared" si="1095"/>
        <v>146428.67265492157</v>
      </c>
      <c r="AH931" s="341"/>
      <c r="AI931" s="341"/>
      <c r="AJ931" s="5"/>
      <c r="AK931" s="94"/>
      <c r="AL931" s="94"/>
      <c r="AM931" s="321"/>
      <c r="AN931" s="321"/>
      <c r="AO931" s="342">
        <f t="shared" ref="AO931:AZ931" si="1096">AO35+AO49+AO73+AO133+AO192+AO217+AO277+AO293+AO314+AO325+AO357+AO385+AO422+AO604+AO631+AO661+AO811+AO863+AO904+AO923</f>
        <v>35753407.604466774</v>
      </c>
      <c r="AP931" s="342">
        <f t="shared" si="1096"/>
        <v>11917802.541488923</v>
      </c>
      <c r="AQ931" s="342">
        <f t="shared" si="1096"/>
        <v>1788849.6405322119</v>
      </c>
      <c r="AR931" s="342">
        <f t="shared" si="1096"/>
        <v>2888678.542694645</v>
      </c>
      <c r="AS931" s="342">
        <f t="shared" si="1096"/>
        <v>41946.392669454188</v>
      </c>
      <c r="AT931" s="342">
        <f t="shared" si="1096"/>
        <v>5958901.255744461</v>
      </c>
      <c r="AU931" s="342">
        <f t="shared" si="1096"/>
        <v>1191780.2511488916</v>
      </c>
      <c r="AV931" s="342">
        <f t="shared" si="1096"/>
        <v>8601075.5471909847</v>
      </c>
      <c r="AW931" s="342">
        <f t="shared" si="1096"/>
        <v>4568885.3843331672</v>
      </c>
      <c r="AX931" s="342">
        <f t="shared" si="1096"/>
        <v>2825259.5607045437</v>
      </c>
      <c r="AY931" s="342">
        <f t="shared" si="1096"/>
        <v>0</v>
      </c>
      <c r="AZ931" s="342">
        <f t="shared" si="1096"/>
        <v>1644656.7367854698</v>
      </c>
      <c r="BA931" s="94"/>
      <c r="BB931" s="92"/>
      <c r="BC931" s="95"/>
      <c r="BD931" s="95"/>
      <c r="BE931" s="95"/>
    </row>
    <row r="932" spans="2:65" ht="21" customHeight="1" x14ac:dyDescent="0.2">
      <c r="B932" s="5"/>
      <c r="C932" s="94"/>
      <c r="D932" s="5"/>
      <c r="E932" s="321"/>
      <c r="F932" s="94"/>
      <c r="G932" s="27"/>
      <c r="H932" s="27"/>
      <c r="I932" s="95"/>
      <c r="J932" s="95"/>
      <c r="K932" s="95"/>
      <c r="L932" s="27"/>
      <c r="M932" s="27"/>
      <c r="N932" s="95"/>
      <c r="O932" s="343" t="s">
        <v>1110</v>
      </c>
      <c r="P932" s="57">
        <f>SUM(P930:P931)</f>
        <v>9938742.098764509</v>
      </c>
      <c r="Q932" s="57">
        <f t="shared" ref="Q932:AG932" si="1097">Q36+Q50+Q74+Q83+Q134+Q193+Q208+Q218+Q278+Q294+Q315+Q326+Q358+Q386+Q423+Q605+Q632+Q662+Q812+Q864+Q888+Q905+Q924</f>
        <v>7454056.5740733827</v>
      </c>
      <c r="R932" s="57">
        <f t="shared" si="1097"/>
        <v>2484685.5246911277</v>
      </c>
      <c r="S932" s="57">
        <f t="shared" si="1097"/>
        <v>331291.40329215024</v>
      </c>
      <c r="T932" s="57">
        <f t="shared" si="1097"/>
        <v>380289.40183905914</v>
      </c>
      <c r="U932" s="81">
        <f t="shared" si="1097"/>
        <v>3727028.2870366913</v>
      </c>
      <c r="V932" s="57">
        <f t="shared" si="1097"/>
        <v>1242342.7623455639</v>
      </c>
      <c r="W932" s="74">
        <f t="shared" si="1097"/>
        <v>15.250000000000005</v>
      </c>
      <c r="X932" s="57">
        <f t="shared" si="1097"/>
        <v>149452.03092053055</v>
      </c>
      <c r="Y932" s="57">
        <f t="shared" si="1097"/>
        <v>618773.40584490553</v>
      </c>
      <c r="Z932" s="57">
        <f t="shared" si="1097"/>
        <v>2783.4458194452654</v>
      </c>
      <c r="AA932" s="57">
        <f t="shared" si="1097"/>
        <v>1242342.7623455639</v>
      </c>
      <c r="AB932" s="57">
        <f t="shared" si="1097"/>
        <v>235218.51326597869</v>
      </c>
      <c r="AC932" s="57">
        <f t="shared" si="1097"/>
        <v>1541317.2440474723</v>
      </c>
      <c r="AD932" s="57">
        <f t="shared" si="1097"/>
        <v>913914.83239247522</v>
      </c>
      <c r="AE932" s="57">
        <f t="shared" si="1097"/>
        <v>552441.43487565941</v>
      </c>
      <c r="AF932" s="57">
        <f t="shared" si="1097"/>
        <v>52022.288844525763</v>
      </c>
      <c r="AG932" s="57">
        <f t="shared" si="1097"/>
        <v>342270.11643460364</v>
      </c>
      <c r="AH932" s="92"/>
      <c r="AI932" s="92"/>
      <c r="AJ932" s="5"/>
      <c r="AK932" s="94"/>
      <c r="AL932" s="94"/>
      <c r="AM932" s="321"/>
      <c r="AN932" s="94"/>
      <c r="AO932" s="74">
        <f t="shared" ref="AO932:AZ932" si="1098">AO36+AO50+AO74+AO83+AO134+AO193+AO208+AO218+AO278+AO294+AO315+AO326+AO358+AO386+AO423+AO605+AO632+AO662+AO812+AO864+AO888+AO905+AO924</f>
        <v>85260409.697856262</v>
      </c>
      <c r="AP932" s="74">
        <f t="shared" si="1098"/>
        <v>28420136.562618755</v>
      </c>
      <c r="AQ932" s="74">
        <f t="shared" si="1098"/>
        <v>1788849.6405322119</v>
      </c>
      <c r="AR932" s="74">
        <f t="shared" si="1098"/>
        <v>8273111.0138744349</v>
      </c>
      <c r="AS932" s="74">
        <f t="shared" si="1098"/>
        <v>41946.392669454188</v>
      </c>
      <c r="AT932" s="74">
        <f t="shared" si="1098"/>
        <v>14210068.271309379</v>
      </c>
      <c r="AU932" s="74">
        <f t="shared" si="1098"/>
        <v>2683013.1738242623</v>
      </c>
      <c r="AV932" s="74">
        <f t="shared" si="1098"/>
        <v>17625302.703784194</v>
      </c>
      <c r="AW932" s="74">
        <f t="shared" si="1098"/>
        <v>10401758.77002353</v>
      </c>
      <c r="AX932" s="74">
        <f t="shared" si="1098"/>
        <v>6295493.6865923814</v>
      </c>
      <c r="AY932" s="74">
        <f t="shared" si="1098"/>
        <v>624267.46613430895</v>
      </c>
      <c r="AZ932" s="74">
        <f t="shared" si="1098"/>
        <v>3914581.0062081255</v>
      </c>
      <c r="BA932" s="94"/>
      <c r="BB932" s="92"/>
      <c r="BC932" s="95"/>
      <c r="BD932" s="95"/>
      <c r="BE932" s="95"/>
      <c r="BK932" s="344">
        <v>165377296.15000001</v>
      </c>
      <c r="BL932" s="345"/>
      <c r="BM932" s="345"/>
    </row>
    <row r="933" spans="2:65" ht="21" customHeight="1" thickBot="1" x14ac:dyDescent="0.25">
      <c r="E933" s="217"/>
      <c r="F933" s="217"/>
      <c r="G933" s="346"/>
      <c r="H933" s="346"/>
      <c r="I933" s="95"/>
      <c r="J933" s="95"/>
      <c r="K933" s="95"/>
      <c r="L933" s="27"/>
      <c r="M933" s="27"/>
      <c r="N933" s="95"/>
      <c r="O933" s="95"/>
      <c r="P933" s="66"/>
      <c r="Q933" s="66"/>
      <c r="R933" s="66"/>
      <c r="S933" s="66"/>
      <c r="T933" s="95"/>
      <c r="U933" s="66"/>
      <c r="V933" s="95"/>
      <c r="W933" s="129"/>
      <c r="X933" s="66"/>
      <c r="Y933" s="66"/>
      <c r="Z933" s="66"/>
      <c r="AA933" s="66"/>
      <c r="AB933" s="66"/>
      <c r="AC933" s="66"/>
      <c r="AD933" s="66"/>
      <c r="AE933" s="66"/>
      <c r="AF933" s="66"/>
      <c r="AG933" s="66"/>
      <c r="AH933" s="64"/>
      <c r="AI933" s="64"/>
      <c r="AM933" s="217"/>
      <c r="AN933" s="217"/>
      <c r="AO933" s="153"/>
      <c r="AP933" s="153"/>
      <c r="AQ933" s="153"/>
      <c r="AR933" s="153"/>
      <c r="AS933" s="153"/>
      <c r="AT933" s="153"/>
      <c r="AU933" s="153"/>
      <c r="AV933" s="153"/>
      <c r="AW933" s="153"/>
      <c r="AX933" s="153"/>
      <c r="AY933" s="153"/>
      <c r="AZ933" s="153"/>
      <c r="BB933" s="64"/>
      <c r="BC933" s="66"/>
      <c r="BD933" s="66"/>
      <c r="BE933" s="66"/>
      <c r="BK933" s="347">
        <v>165377296.16</v>
      </c>
      <c r="BL933" s="509" t="s">
        <v>1111</v>
      </c>
      <c r="BM933" s="509"/>
    </row>
    <row r="934" spans="2:65" ht="21" customHeight="1" thickTop="1" thickBot="1" x14ac:dyDescent="0.25">
      <c r="E934" s="217"/>
      <c r="F934" s="217"/>
      <c r="G934" s="346"/>
      <c r="H934" s="346"/>
      <c r="I934" s="95"/>
      <c r="J934" s="95"/>
      <c r="K934" s="95"/>
      <c r="L934" s="27"/>
      <c r="M934" s="27"/>
      <c r="N934" s="95"/>
      <c r="O934" s="95"/>
      <c r="P934" s="66"/>
      <c r="Q934" s="66"/>
      <c r="R934" s="66"/>
      <c r="S934" s="66"/>
      <c r="T934" s="95"/>
      <c r="U934" s="66"/>
      <c r="V934" s="95"/>
      <c r="W934" s="129"/>
      <c r="X934" s="66"/>
      <c r="Y934" s="66"/>
      <c r="Z934" s="66"/>
      <c r="AA934" s="66"/>
      <c r="AB934" s="66"/>
      <c r="AC934" s="66"/>
      <c r="AE934" s="152" t="s">
        <v>1112</v>
      </c>
      <c r="AF934" s="510">
        <f>Q932+R932-Y932+Z932+X932+AA932+AB932+AC932+AD932+AE932+AF932+AG932</f>
        <v>14351731.361865858</v>
      </c>
      <c r="AG934" s="510"/>
      <c r="AH934" s="64"/>
      <c r="AI934" s="92">
        <f>AF934*12</f>
        <v>172220776.3423903</v>
      </c>
      <c r="AM934" s="217"/>
      <c r="AN934" s="217"/>
      <c r="AO934" s="131"/>
      <c r="AP934" s="131"/>
      <c r="AQ934" s="131"/>
      <c r="AR934" s="131"/>
      <c r="AS934" s="131"/>
      <c r="AT934" s="131"/>
      <c r="AU934" s="131"/>
      <c r="AV934" s="131"/>
      <c r="AW934" s="131"/>
      <c r="AX934" s="131"/>
      <c r="AY934" s="153" t="s">
        <v>1112</v>
      </c>
      <c r="AZ934" s="348">
        <f>AO932+AP932+AQ932-AR932+AS932+AT932+AU932+AV932+AW932+AX932+AY932+AZ932</f>
        <v>162992716.35767838</v>
      </c>
      <c r="BA934" s="211"/>
      <c r="BB934" s="92">
        <f>SUM(BB35:BB933)</f>
        <v>201984875.62701666</v>
      </c>
      <c r="BC934" s="95"/>
      <c r="BD934" s="95"/>
      <c r="BE934" s="95"/>
      <c r="BJ934" s="349"/>
      <c r="BK934" s="350">
        <v>2703761.97</v>
      </c>
      <c r="BL934" s="351" t="s">
        <v>1113</v>
      </c>
      <c r="BM934" s="352"/>
    </row>
    <row r="935" spans="2:65" ht="21" customHeight="1" thickTop="1" x14ac:dyDescent="0.2">
      <c r="E935" s="217"/>
      <c r="F935" s="217"/>
      <c r="G935" s="346"/>
      <c r="H935" s="346"/>
      <c r="I935" s="95"/>
      <c r="J935" s="95"/>
      <c r="K935" s="95"/>
      <c r="L935" s="27"/>
      <c r="M935" s="27"/>
      <c r="N935" s="95"/>
      <c r="O935" s="95"/>
      <c r="P935" s="66"/>
      <c r="Q935" s="66"/>
      <c r="R935" s="66"/>
      <c r="S935" s="66"/>
      <c r="T935" s="95"/>
      <c r="U935" s="66"/>
      <c r="V935" s="95"/>
      <c r="W935" s="129"/>
      <c r="X935" s="66"/>
      <c r="Y935" s="66"/>
      <c r="Z935" s="66"/>
      <c r="AA935" s="66"/>
      <c r="AB935" s="66"/>
      <c r="AC935" s="66"/>
      <c r="AD935" s="66"/>
      <c r="AE935" s="66"/>
      <c r="AF935" s="66"/>
      <c r="AG935" s="66"/>
      <c r="AH935" s="64"/>
      <c r="AI935" s="64"/>
      <c r="AM935" s="217"/>
      <c r="AN935" s="217"/>
      <c r="AO935" s="131"/>
      <c r="AP935" s="131"/>
      <c r="AQ935" s="131"/>
      <c r="AR935" s="131"/>
      <c r="AS935" s="131"/>
      <c r="AT935" s="131"/>
      <c r="AU935" s="131"/>
      <c r="AV935" s="131"/>
      <c r="AW935" s="131"/>
      <c r="AX935" s="131"/>
      <c r="AY935" s="131"/>
      <c r="AZ935" s="131"/>
      <c r="BB935" s="64"/>
      <c r="BC935" s="66"/>
      <c r="BD935" s="66"/>
      <c r="BE935" s="66"/>
      <c r="BK935" s="344">
        <f>BK933-BK934</f>
        <v>162673534.19</v>
      </c>
      <c r="BL935" s="345"/>
      <c r="BM935" s="345"/>
    </row>
    <row r="936" spans="2:65" ht="21" customHeight="1" x14ac:dyDescent="0.2">
      <c r="E936" s="217"/>
      <c r="F936" s="217"/>
      <c r="G936" s="177"/>
      <c r="H936" s="177"/>
      <c r="I936" s="95"/>
      <c r="J936" s="95"/>
      <c r="K936" s="95"/>
      <c r="L936" s="27"/>
      <c r="M936" s="27"/>
      <c r="N936" s="95"/>
      <c r="O936" s="321"/>
      <c r="P936" s="66">
        <f>P930+P931</f>
        <v>9938742.098764509</v>
      </c>
      <c r="Q936" s="66">
        <f t="shared" ref="Q936:AG936" si="1099">Q930+Q931</f>
        <v>7454056.5740733827</v>
      </c>
      <c r="R936" s="66">
        <f t="shared" si="1099"/>
        <v>2484685.5246911272</v>
      </c>
      <c r="S936" s="66">
        <f t="shared" si="1099"/>
        <v>331291.40329215024</v>
      </c>
      <c r="T936" s="95">
        <f t="shared" si="1099"/>
        <v>380289.4018390592</v>
      </c>
      <c r="U936" s="66">
        <f t="shared" si="1099"/>
        <v>3727028.2870366913</v>
      </c>
      <c r="V936" s="95">
        <f t="shared" si="1099"/>
        <v>1242342.7623455636</v>
      </c>
      <c r="W936" s="177">
        <f>W930+W931</f>
        <v>15.250000000000005</v>
      </c>
      <c r="X936" s="66">
        <f>X930+X931</f>
        <v>149452.03092053055</v>
      </c>
      <c r="Y936" s="66">
        <f t="shared" si="1099"/>
        <v>618773.40584490565</v>
      </c>
      <c r="Z936" s="66">
        <f t="shared" si="1099"/>
        <v>2783.4458194452654</v>
      </c>
      <c r="AA936" s="66">
        <f t="shared" si="1099"/>
        <v>1242342.7623455636</v>
      </c>
      <c r="AB936" s="66">
        <f t="shared" si="1099"/>
        <v>235218.51326597866</v>
      </c>
      <c r="AC936" s="66">
        <f t="shared" si="1099"/>
        <v>1541317.2440474723</v>
      </c>
      <c r="AD936" s="66">
        <f t="shared" si="1099"/>
        <v>913914.83239247522</v>
      </c>
      <c r="AE936" s="66">
        <f t="shared" si="1099"/>
        <v>552441.43487565918</v>
      </c>
      <c r="AF936" s="66">
        <f t="shared" si="1099"/>
        <v>52022.288844525763</v>
      </c>
      <c r="AG936" s="66">
        <f t="shared" si="1099"/>
        <v>342270.11643460364</v>
      </c>
      <c r="AH936" s="64"/>
      <c r="AI936" s="64"/>
      <c r="AM936" s="217"/>
      <c r="AN936" s="217"/>
      <c r="AO936" s="153">
        <f>AO930+AO931</f>
        <v>85260409.697856262</v>
      </c>
      <c r="AP936" s="153">
        <f t="shared" ref="AP936:AY936" si="1100">AP930+AP931</f>
        <v>28420136.562618762</v>
      </c>
      <c r="AQ936" s="153">
        <f t="shared" si="1100"/>
        <v>1788849.6405322119</v>
      </c>
      <c r="AR936" s="153">
        <f t="shared" si="1100"/>
        <v>8273111.0138744339</v>
      </c>
      <c r="AS936" s="153">
        <f t="shared" si="1100"/>
        <v>41946.392669454188</v>
      </c>
      <c r="AT936" s="153">
        <f t="shared" si="1100"/>
        <v>14210068.271309379</v>
      </c>
      <c r="AU936" s="153">
        <f t="shared" si="1100"/>
        <v>2683013.1738242619</v>
      </c>
      <c r="AV936" s="153">
        <f>AV930+AV931</f>
        <v>17625302.703784194</v>
      </c>
      <c r="AW936" s="153">
        <f>AW930+AW931</f>
        <v>10401758.770023532</v>
      </c>
      <c r="AX936" s="153">
        <f>AX930+AX931</f>
        <v>6295493.6865923805</v>
      </c>
      <c r="AY936" s="153">
        <f t="shared" si="1100"/>
        <v>624267.46613430895</v>
      </c>
      <c r="AZ936" s="153">
        <f>AZ930+AZ931</f>
        <v>3914581.0062081255</v>
      </c>
      <c r="BA936" s="211"/>
      <c r="BB936" s="64"/>
      <c r="BC936" s="66"/>
      <c r="BD936" s="66"/>
      <c r="BE936" s="66"/>
      <c r="BK936" s="131"/>
    </row>
    <row r="937" spans="2:65" ht="21" customHeight="1" x14ac:dyDescent="0.2">
      <c r="E937" s="217"/>
      <c r="F937" s="217"/>
      <c r="G937" s="346"/>
      <c r="H937" s="346"/>
      <c r="I937" s="95"/>
      <c r="J937" s="95"/>
      <c r="K937" s="95"/>
      <c r="L937" s="27"/>
      <c r="M937" s="27"/>
      <c r="N937" s="95"/>
      <c r="O937" s="95"/>
      <c r="P937" s="66"/>
      <c r="Q937" s="66"/>
      <c r="R937" s="66"/>
      <c r="S937" s="66"/>
      <c r="T937" s="95"/>
      <c r="U937" s="66"/>
      <c r="V937" s="95"/>
      <c r="W937" s="129"/>
      <c r="X937" s="66"/>
      <c r="Y937" s="66"/>
      <c r="Z937" s="66"/>
      <c r="AA937" s="66"/>
      <c r="AB937" s="66"/>
      <c r="AC937" s="66"/>
      <c r="AD937" s="66"/>
      <c r="AE937" s="66"/>
      <c r="AF937" s="66"/>
      <c r="AG937" s="66"/>
      <c r="AH937" s="64"/>
      <c r="AI937" s="64"/>
      <c r="AM937" s="217"/>
      <c r="AN937" s="217"/>
      <c r="AO937" s="153">
        <f>AO932-AO936</f>
        <v>0</v>
      </c>
      <c r="AP937" s="153">
        <f t="shared" ref="AP937:AZ937" si="1101">AP932-AP936</f>
        <v>0</v>
      </c>
      <c r="AQ937" s="153">
        <f t="shared" si="1101"/>
        <v>0</v>
      </c>
      <c r="AR937" s="153">
        <f t="shared" si="1101"/>
        <v>0</v>
      </c>
      <c r="AS937" s="153">
        <f t="shared" si="1101"/>
        <v>0</v>
      </c>
      <c r="AT937" s="153">
        <f t="shared" si="1101"/>
        <v>0</v>
      </c>
      <c r="AU937" s="153">
        <f t="shared" si="1101"/>
        <v>0</v>
      </c>
      <c r="AV937" s="153">
        <f t="shared" si="1101"/>
        <v>0</v>
      </c>
      <c r="AW937" s="153">
        <f t="shared" si="1101"/>
        <v>0</v>
      </c>
      <c r="AX937" s="153">
        <f t="shared" si="1101"/>
        <v>0</v>
      </c>
      <c r="AY937" s="153">
        <f t="shared" si="1101"/>
        <v>0</v>
      </c>
      <c r="AZ937" s="153">
        <f t="shared" si="1101"/>
        <v>0</v>
      </c>
      <c r="BB937" s="64"/>
      <c r="BC937" s="66"/>
      <c r="BD937" s="66"/>
      <c r="BE937" s="66"/>
    </row>
    <row r="938" spans="2:65" ht="21" customHeight="1" x14ac:dyDescent="0.2">
      <c r="E938" s="217"/>
      <c r="F938" s="217"/>
      <c r="G938" s="346"/>
      <c r="H938" s="346"/>
      <c r="I938" s="95"/>
      <c r="J938" s="95"/>
      <c r="K938" s="95"/>
      <c r="L938" s="27"/>
      <c r="M938" s="27"/>
      <c r="N938" s="95"/>
      <c r="O938" s="95"/>
      <c r="P938" s="66">
        <f>P932-P936</f>
        <v>0</v>
      </c>
      <c r="Q938" s="66">
        <f t="shared" ref="Q938:AG938" si="1102">Q932-Q936</f>
        <v>0</v>
      </c>
      <c r="R938" s="66">
        <f t="shared" si="1102"/>
        <v>0</v>
      </c>
      <c r="S938" s="66">
        <f t="shared" si="1102"/>
        <v>0</v>
      </c>
      <c r="T938" s="95">
        <f t="shared" si="1102"/>
        <v>0</v>
      </c>
      <c r="U938" s="66">
        <f t="shared" si="1102"/>
        <v>0</v>
      </c>
      <c r="V938" s="95">
        <f t="shared" si="1102"/>
        <v>0</v>
      </c>
      <c r="W938" s="177">
        <f>W932-W936</f>
        <v>0</v>
      </c>
      <c r="X938" s="66">
        <f>X932-X936</f>
        <v>0</v>
      </c>
      <c r="Y938" s="66">
        <f t="shared" si="1102"/>
        <v>0</v>
      </c>
      <c r="Z938" s="66">
        <f t="shared" si="1102"/>
        <v>0</v>
      </c>
      <c r="AA938" s="66">
        <f t="shared" si="1102"/>
        <v>0</v>
      </c>
      <c r="AB938" s="66">
        <f t="shared" si="1102"/>
        <v>0</v>
      </c>
      <c r="AC938" s="66">
        <f t="shared" si="1102"/>
        <v>0</v>
      </c>
      <c r="AD938" s="66">
        <f t="shared" si="1102"/>
        <v>0</v>
      </c>
      <c r="AE938" s="66">
        <f t="shared" si="1102"/>
        <v>0</v>
      </c>
      <c r="AF938" s="66">
        <f t="shared" si="1102"/>
        <v>0</v>
      </c>
      <c r="AG938" s="66">
        <f t="shared" si="1102"/>
        <v>0</v>
      </c>
      <c r="AH938" s="64"/>
      <c r="AI938" s="64"/>
      <c r="AM938" s="217"/>
      <c r="AN938" s="217"/>
      <c r="AO938" s="177"/>
      <c r="AP938" s="177"/>
      <c r="AQ938" s="177"/>
      <c r="AR938" s="177"/>
      <c r="AS938" s="177"/>
      <c r="AT938" s="177"/>
      <c r="AU938" s="177"/>
      <c r="AV938" s="177"/>
      <c r="AW938" s="177"/>
      <c r="AX938" s="177"/>
      <c r="AY938" s="177"/>
      <c r="AZ938" s="177"/>
      <c r="BB938" s="284"/>
      <c r="BC938" s="66"/>
      <c r="BD938" s="66"/>
      <c r="BE938" s="66"/>
    </row>
    <row r="939" spans="2:65" ht="21" customHeight="1" x14ac:dyDescent="0.2">
      <c r="E939" s="217"/>
      <c r="F939" s="217"/>
      <c r="G939" s="346"/>
      <c r="H939" s="346"/>
      <c r="I939" s="95"/>
      <c r="J939" s="95"/>
      <c r="K939" s="95"/>
      <c r="L939" s="27"/>
      <c r="M939" s="27"/>
      <c r="N939" s="95"/>
      <c r="O939" s="95"/>
      <c r="P939" s="66"/>
      <c r="Q939" s="66"/>
      <c r="R939" s="66"/>
      <c r="S939" s="66"/>
      <c r="T939" s="95"/>
      <c r="U939" s="66"/>
      <c r="V939" s="95"/>
      <c r="W939" s="177"/>
      <c r="X939" s="66"/>
      <c r="Y939" s="66"/>
      <c r="Z939" s="66"/>
      <c r="AA939" s="66"/>
      <c r="AB939" s="66"/>
      <c r="AC939" s="66"/>
      <c r="AD939" s="66"/>
      <c r="AE939" s="66"/>
      <c r="AF939" s="66"/>
      <c r="AG939" s="66"/>
      <c r="AH939" s="64"/>
      <c r="AI939" s="64"/>
      <c r="AM939" s="217"/>
      <c r="AN939" s="217"/>
      <c r="AO939" s="353"/>
      <c r="AP939" s="353"/>
      <c r="AQ939" s="353"/>
      <c r="AR939" s="353"/>
      <c r="AS939" s="353"/>
      <c r="AT939" s="353"/>
      <c r="AU939" s="353"/>
      <c r="AV939" s="353"/>
      <c r="AW939" s="353"/>
      <c r="AX939" s="353"/>
      <c r="BC939" s="66"/>
      <c r="BD939" s="66"/>
      <c r="BE939" s="66"/>
    </row>
    <row r="940" spans="2:65" ht="21" customHeight="1" x14ac:dyDescent="0.2">
      <c r="E940" s="217"/>
      <c r="F940" s="354"/>
      <c r="G940" s="346"/>
      <c r="H940" s="346"/>
      <c r="I940" s="95"/>
      <c r="J940" s="95"/>
      <c r="K940" s="95"/>
      <c r="L940" s="27"/>
      <c r="M940" s="27"/>
      <c r="N940" s="95"/>
      <c r="O940" s="95"/>
      <c r="P940" s="66"/>
      <c r="Q940" s="66"/>
      <c r="R940" s="66"/>
      <c r="S940" s="66"/>
      <c r="T940" s="95"/>
      <c r="U940" s="66"/>
      <c r="V940" s="95"/>
      <c r="W940" s="129"/>
      <c r="X940" s="66"/>
      <c r="Y940" s="66"/>
      <c r="Z940" s="66"/>
      <c r="AA940" s="66"/>
      <c r="AB940" s="66"/>
      <c r="AC940" s="66"/>
      <c r="AD940" s="66"/>
      <c r="AE940" s="66"/>
      <c r="AF940" s="66"/>
      <c r="AG940" s="66"/>
      <c r="AH940" s="64"/>
      <c r="AI940" s="64"/>
      <c r="AM940" s="217"/>
      <c r="AN940" s="354"/>
      <c r="AO940" s="131"/>
      <c r="AP940" s="131"/>
      <c r="AQ940" s="131"/>
      <c r="AR940" s="131"/>
      <c r="AS940" s="131"/>
      <c r="AT940" s="131"/>
      <c r="AU940" s="131"/>
      <c r="AV940" s="131"/>
      <c r="AW940" s="131"/>
      <c r="AX940" s="131"/>
      <c r="BB940" s="64"/>
      <c r="BC940" s="66"/>
      <c r="BD940" s="66"/>
      <c r="BE940" s="66"/>
    </row>
    <row r="941" spans="2:65" ht="21" customHeight="1" x14ac:dyDescent="0.2">
      <c r="E941" s="217"/>
      <c r="F941" s="217"/>
      <c r="G941" s="346"/>
      <c r="H941" s="346"/>
      <c r="I941" s="95"/>
      <c r="J941" s="95"/>
      <c r="K941" s="95"/>
      <c r="L941" s="27"/>
      <c r="M941" s="27"/>
      <c r="N941" s="95"/>
      <c r="O941" s="95"/>
      <c r="P941" s="66"/>
      <c r="Q941" s="66"/>
      <c r="R941" s="66"/>
      <c r="S941" s="66"/>
      <c r="T941" s="95"/>
      <c r="U941" s="66"/>
      <c r="V941" s="95"/>
      <c r="W941" s="177"/>
      <c r="X941" s="66"/>
      <c r="Y941" s="66"/>
      <c r="Z941" s="66"/>
      <c r="AA941" s="66"/>
      <c r="AB941" s="66"/>
      <c r="AC941" s="66"/>
      <c r="AD941" s="66"/>
      <c r="AE941" s="66"/>
      <c r="AF941" s="66"/>
      <c r="AG941" s="66"/>
      <c r="AH941" s="64"/>
      <c r="AI941" s="64"/>
      <c r="AM941" s="217"/>
      <c r="AN941" s="217"/>
    </row>
    <row r="942" spans="2:65" ht="21" customHeight="1" x14ac:dyDescent="0.2">
      <c r="E942" s="217"/>
      <c r="F942" s="217"/>
      <c r="G942" s="346"/>
      <c r="H942" s="346"/>
      <c r="I942" s="95"/>
      <c r="J942" s="95"/>
      <c r="K942" s="95"/>
      <c r="L942" s="27"/>
      <c r="M942" s="27"/>
      <c r="N942" s="95"/>
      <c r="O942" s="321"/>
      <c r="P942" s="66"/>
      <c r="Q942" s="66"/>
      <c r="R942" s="66"/>
      <c r="S942" s="66"/>
      <c r="T942" s="95"/>
      <c r="U942" s="66"/>
      <c r="V942" s="95"/>
      <c r="W942" s="177"/>
      <c r="X942" s="66"/>
      <c r="Y942" s="66"/>
      <c r="Z942" s="66"/>
      <c r="AA942" s="66"/>
      <c r="AB942" s="66"/>
      <c r="AC942" s="66"/>
      <c r="AD942" s="66"/>
      <c r="AE942" s="66"/>
      <c r="AF942" s="66"/>
      <c r="AG942" s="66"/>
      <c r="AH942" s="64"/>
      <c r="AI942" s="64"/>
      <c r="AM942" s="217"/>
      <c r="AN942" s="217"/>
      <c r="AO942" s="355"/>
      <c r="AP942" s="355"/>
      <c r="AQ942" s="355"/>
      <c r="AR942" s="355"/>
      <c r="AS942" s="355"/>
      <c r="AT942" s="355"/>
      <c r="AU942" s="355"/>
      <c r="AV942" s="355"/>
      <c r="AW942" s="355"/>
      <c r="AX942" s="355"/>
      <c r="BB942" s="64"/>
      <c r="BC942" s="66"/>
      <c r="BD942" s="66"/>
      <c r="BE942" s="66"/>
    </row>
    <row r="943" spans="2:65" ht="21" customHeight="1" x14ac:dyDescent="0.2">
      <c r="E943" s="217"/>
      <c r="F943" s="217"/>
      <c r="I943" s="95"/>
      <c r="J943" s="95"/>
      <c r="K943" s="95"/>
      <c r="L943" s="27"/>
      <c r="M943" s="5"/>
      <c r="N943" s="94"/>
      <c r="W943" s="356"/>
      <c r="X943" s="66"/>
      <c r="Y943" s="211"/>
      <c r="Z943" s="211"/>
      <c r="AM943" s="217"/>
      <c r="AN943" s="217"/>
      <c r="AO943" s="131"/>
      <c r="AP943" s="131"/>
      <c r="AQ943" s="131"/>
      <c r="AR943" s="131"/>
      <c r="AS943" s="131"/>
      <c r="AT943" s="131"/>
      <c r="AU943" s="131"/>
      <c r="AV943" s="131"/>
      <c r="AW943" s="131"/>
      <c r="AX943" s="131"/>
      <c r="AY943" s="131"/>
      <c r="AZ943" s="131"/>
      <c r="BA943" s="94"/>
      <c r="BB943" s="92"/>
      <c r="BC943" s="66"/>
      <c r="BD943" s="66"/>
      <c r="BE943" s="66"/>
    </row>
    <row r="944" spans="2:65" ht="21" customHeight="1" x14ac:dyDescent="0.2">
      <c r="E944" s="217"/>
      <c r="F944" s="217"/>
      <c r="I944" s="95"/>
      <c r="J944" s="95"/>
      <c r="K944" s="95"/>
      <c r="L944" s="27"/>
      <c r="M944" s="5"/>
      <c r="N944" s="94"/>
      <c r="W944" s="356"/>
      <c r="X944" s="66"/>
      <c r="AG944" s="211"/>
      <c r="AH944" s="284"/>
      <c r="AI944" s="284"/>
      <c r="AM944" s="217"/>
      <c r="AN944" s="217"/>
      <c r="AO944" s="131"/>
      <c r="AP944" s="131"/>
      <c r="AQ944" s="131"/>
      <c r="AR944" s="131"/>
      <c r="AS944" s="131"/>
      <c r="AT944" s="131"/>
      <c r="AU944" s="131"/>
      <c r="AV944" s="131"/>
      <c r="AW944" s="131"/>
      <c r="AX944" s="131"/>
      <c r="AY944" s="357" t="s">
        <v>1114</v>
      </c>
      <c r="AZ944" s="358">
        <v>170932772.56</v>
      </c>
      <c r="BA944" s="267"/>
      <c r="BB944" s="64"/>
      <c r="BC944" s="66"/>
      <c r="BD944" s="66"/>
      <c r="BE944" s="66"/>
    </row>
    <row r="945" spans="5:57" ht="21" customHeight="1" x14ac:dyDescent="0.2">
      <c r="E945" s="217"/>
      <c r="F945" s="217"/>
      <c r="I945" s="95"/>
      <c r="J945" s="95"/>
      <c r="K945" s="95"/>
      <c r="L945" s="27"/>
      <c r="M945" s="5"/>
      <c r="N945" s="94"/>
      <c r="P945" s="211"/>
      <c r="Q945" s="211"/>
      <c r="R945" s="211"/>
      <c r="S945" s="211"/>
      <c r="T945" s="152"/>
      <c r="U945" s="211"/>
      <c r="V945" s="152"/>
      <c r="W945" s="131"/>
      <c r="X945" s="211"/>
      <c r="Y945" s="211"/>
      <c r="Z945" s="211"/>
      <c r="AA945" s="211"/>
      <c r="AB945" s="211"/>
      <c r="AC945" s="211"/>
      <c r="AD945" s="211"/>
      <c r="AE945" s="211"/>
      <c r="AF945" s="211"/>
      <c r="AG945" s="211"/>
      <c r="AH945" s="284"/>
      <c r="AI945" s="284"/>
      <c r="AM945" s="217"/>
      <c r="AN945" s="217"/>
      <c r="AO945" s="131"/>
      <c r="AP945" s="131"/>
      <c r="AQ945" s="131"/>
      <c r="AR945" s="131"/>
      <c r="AS945" s="131"/>
      <c r="AT945" s="131"/>
      <c r="AU945" s="131"/>
      <c r="AV945" s="131"/>
      <c r="AW945" s="131"/>
      <c r="AX945" s="131"/>
      <c r="AY945" s="359" t="s">
        <v>1115</v>
      </c>
      <c r="AZ945" s="92">
        <v>167254514.78878215</v>
      </c>
      <c r="BA945" s="267"/>
      <c r="BB945" s="64"/>
      <c r="BC945" s="66"/>
      <c r="BD945" s="66"/>
      <c r="BE945" s="66"/>
    </row>
    <row r="946" spans="5:57" ht="21" customHeight="1" x14ac:dyDescent="0.2">
      <c r="E946" s="217"/>
      <c r="F946" s="217"/>
      <c r="I946" s="95"/>
      <c r="J946" s="95"/>
      <c r="K946" s="95"/>
      <c r="L946" s="27"/>
      <c r="M946" s="5"/>
      <c r="N946" s="94"/>
      <c r="W946" s="356"/>
      <c r="X946" s="66"/>
      <c r="AG946" s="211"/>
      <c r="AH946" s="284"/>
      <c r="AI946" s="284"/>
      <c r="AM946" s="217"/>
      <c r="AN946" s="217"/>
      <c r="AO946" s="131"/>
      <c r="AP946" s="131"/>
      <c r="AQ946" s="131"/>
      <c r="AR946" s="131"/>
      <c r="AS946" s="131"/>
      <c r="AT946" s="131"/>
      <c r="AU946" s="131"/>
      <c r="AV946" s="131"/>
      <c r="AW946" s="131"/>
      <c r="AX946" s="131"/>
      <c r="AY946" s="357" t="s">
        <v>1116</v>
      </c>
      <c r="AZ946" s="358">
        <f>AZ934</f>
        <v>162992716.35767838</v>
      </c>
      <c r="BA946" s="267"/>
      <c r="BB946" s="64"/>
      <c r="BC946" s="66"/>
      <c r="BD946" s="66"/>
      <c r="BE946" s="66"/>
    </row>
    <row r="947" spans="5:57" ht="21" customHeight="1" x14ac:dyDescent="0.2">
      <c r="E947" s="217"/>
      <c r="F947" s="217"/>
      <c r="I947" s="95"/>
      <c r="J947" s="95"/>
      <c r="K947" s="95"/>
      <c r="L947" s="27"/>
      <c r="M947" s="5"/>
      <c r="N947" s="94"/>
      <c r="W947" s="356"/>
      <c r="X947" s="66"/>
      <c r="AG947" s="211"/>
      <c r="AH947" s="284"/>
      <c r="AI947" s="284"/>
      <c r="AM947" s="217"/>
      <c r="AN947" s="217"/>
      <c r="AO947" s="131"/>
      <c r="AP947" s="131"/>
      <c r="AQ947" s="131"/>
      <c r="AR947" s="131"/>
      <c r="AS947" s="131"/>
      <c r="AT947" s="131"/>
      <c r="AU947" s="131"/>
      <c r="AV947" s="131"/>
      <c r="AW947" s="131"/>
      <c r="AX947" s="131"/>
      <c r="AY947" s="360" t="s">
        <v>1117</v>
      </c>
      <c r="AZ947" s="361">
        <v>0</v>
      </c>
      <c r="BA947" s="267"/>
      <c r="BB947" s="64"/>
      <c r="BC947" s="66"/>
      <c r="BD947" s="66"/>
      <c r="BE947" s="66"/>
    </row>
    <row r="948" spans="5:57" ht="21" customHeight="1" x14ac:dyDescent="0.2">
      <c r="E948" s="217"/>
      <c r="F948" s="217"/>
      <c r="I948" s="95"/>
      <c r="J948" s="95"/>
      <c r="K948" s="95"/>
      <c r="L948" s="27"/>
      <c r="M948" s="5"/>
      <c r="N948" s="94"/>
      <c r="W948" s="356"/>
      <c r="X948" s="66"/>
      <c r="AG948" s="211"/>
      <c r="AH948" s="284"/>
      <c r="AI948" s="284"/>
      <c r="AM948" s="217"/>
      <c r="AN948" s="217"/>
      <c r="AO948" s="131"/>
      <c r="AP948" s="131"/>
      <c r="AQ948" s="131"/>
      <c r="AR948" s="131"/>
      <c r="AS948" s="131"/>
      <c r="AT948" s="131"/>
      <c r="AU948" s="131"/>
      <c r="AV948" s="131"/>
      <c r="AW948" s="131"/>
      <c r="AX948" s="131"/>
      <c r="BB948" s="64"/>
      <c r="BC948" s="66"/>
      <c r="BD948" s="66"/>
      <c r="BE948" s="66"/>
    </row>
    <row r="949" spans="5:57" ht="21" customHeight="1" x14ac:dyDescent="0.2">
      <c r="E949" s="217"/>
      <c r="F949" s="217"/>
      <c r="I949" s="95"/>
      <c r="J949" s="95"/>
      <c r="K949" s="95"/>
      <c r="L949" s="27"/>
      <c r="M949" s="5"/>
      <c r="N949" s="94"/>
      <c r="W949" s="356"/>
      <c r="X949" s="66"/>
      <c r="AG949" s="211"/>
      <c r="AH949" s="284"/>
      <c r="AI949" s="284"/>
      <c r="AM949" s="217"/>
      <c r="AN949" s="217"/>
      <c r="AO949" s="131"/>
      <c r="AP949" s="131"/>
      <c r="AQ949" s="131"/>
      <c r="AR949" s="131"/>
      <c r="AS949" s="131"/>
      <c r="AT949" s="131"/>
      <c r="AU949" s="131"/>
      <c r="AV949" s="131"/>
      <c r="AW949" s="131"/>
      <c r="AX949" s="131"/>
      <c r="BB949" s="64"/>
      <c r="BC949" s="66"/>
      <c r="BD949" s="66"/>
      <c r="BE949" s="66"/>
    </row>
    <row r="950" spans="5:57" ht="21" customHeight="1" x14ac:dyDescent="0.2">
      <c r="E950" s="217"/>
      <c r="F950" s="217"/>
      <c r="I950" s="95"/>
      <c r="J950" s="95"/>
      <c r="K950" s="95"/>
      <c r="L950" s="27"/>
      <c r="M950" s="5"/>
      <c r="N950" s="94"/>
      <c r="W950" s="356"/>
      <c r="X950" s="66"/>
      <c r="AG950" s="211"/>
      <c r="AH950" s="284"/>
      <c r="AI950" s="284"/>
      <c r="AM950" s="217"/>
      <c r="AN950" s="217"/>
      <c r="AO950" s="131"/>
      <c r="AP950" s="131"/>
      <c r="AQ950" s="131"/>
      <c r="AR950" s="131"/>
      <c r="AS950" s="131"/>
      <c r="AT950" s="131"/>
      <c r="AU950" s="131"/>
      <c r="AV950" s="131"/>
      <c r="AW950" s="131"/>
      <c r="AX950" s="131"/>
      <c r="BB950" s="64"/>
      <c r="BC950" s="66"/>
      <c r="BD950" s="66"/>
      <c r="BE950" s="66"/>
    </row>
    <row r="951" spans="5:57" ht="21" customHeight="1" x14ac:dyDescent="0.2">
      <c r="E951" s="217"/>
      <c r="F951" s="217"/>
      <c r="I951" s="95"/>
      <c r="J951" s="95"/>
      <c r="K951" s="95"/>
      <c r="L951" s="27"/>
      <c r="M951" s="5"/>
      <c r="N951" s="94"/>
      <c r="W951" s="356"/>
      <c r="X951" s="66"/>
      <c r="AG951" s="211"/>
      <c r="AH951" s="284"/>
      <c r="AI951" s="284"/>
      <c r="AM951" s="217"/>
      <c r="AN951" s="217"/>
      <c r="AO951" s="131"/>
      <c r="AP951" s="131"/>
      <c r="AQ951" s="131"/>
      <c r="AR951" s="131"/>
      <c r="AS951" s="131"/>
      <c r="AT951" s="131"/>
      <c r="AU951" s="131"/>
      <c r="AV951" s="131"/>
      <c r="AW951" s="131"/>
      <c r="AX951" s="131"/>
      <c r="BB951" s="64"/>
      <c r="BC951" s="66"/>
      <c r="BD951" s="66"/>
      <c r="BE951" s="66"/>
    </row>
    <row r="952" spans="5:57" ht="21" customHeight="1" x14ac:dyDescent="0.2">
      <c r="E952" s="217"/>
      <c r="F952" s="217"/>
      <c r="I952" s="95"/>
      <c r="J952" s="95"/>
      <c r="K952" s="95"/>
      <c r="L952" s="27"/>
      <c r="M952" s="5"/>
      <c r="N952" s="94"/>
      <c r="W952" s="356"/>
      <c r="X952" s="66"/>
      <c r="AG952" s="211"/>
      <c r="AH952" s="284"/>
      <c r="AI952" s="284"/>
      <c r="AM952" s="217"/>
      <c r="AN952" s="217"/>
      <c r="AO952" s="131"/>
      <c r="AP952" s="131"/>
      <c r="AQ952" s="131"/>
      <c r="AR952" s="131"/>
      <c r="AS952" s="131"/>
      <c r="AT952" s="131"/>
      <c r="AU952" s="131"/>
      <c r="AV952" s="131"/>
      <c r="AW952" s="131"/>
      <c r="AX952" s="131"/>
      <c r="BB952" s="64"/>
      <c r="BC952" s="66"/>
      <c r="BD952" s="66"/>
      <c r="BE952" s="66"/>
    </row>
    <row r="953" spans="5:57" ht="21" customHeight="1" x14ac:dyDescent="0.2">
      <c r="E953" s="217"/>
      <c r="F953" s="217"/>
      <c r="I953" s="95"/>
      <c r="J953" s="95"/>
      <c r="K953" s="95"/>
      <c r="L953" s="27"/>
      <c r="M953" s="5"/>
      <c r="N953" s="94"/>
      <c r="W953" s="356"/>
      <c r="X953" s="66"/>
      <c r="AG953" s="211"/>
      <c r="AH953" s="284"/>
      <c r="AI953" s="284"/>
      <c r="AM953" s="217"/>
      <c r="AN953" s="217"/>
      <c r="AO953" s="131"/>
      <c r="AP953" s="131"/>
      <c r="AQ953" s="131"/>
      <c r="AR953" s="131"/>
      <c r="AS953" s="131"/>
      <c r="AT953" s="131"/>
      <c r="AU953" s="131"/>
      <c r="AV953" s="131"/>
      <c r="AW953" s="131"/>
      <c r="AX953" s="131"/>
      <c r="BB953" s="64"/>
      <c r="BC953" s="66"/>
      <c r="BD953" s="66"/>
      <c r="BE953" s="66"/>
    </row>
    <row r="954" spans="5:57" ht="21" customHeight="1" x14ac:dyDescent="0.2">
      <c r="E954" s="217"/>
      <c r="F954" s="217"/>
      <c r="I954" s="95"/>
      <c r="J954" s="95"/>
      <c r="K954" s="95"/>
      <c r="L954" s="27"/>
      <c r="M954" s="5"/>
      <c r="N954" s="94"/>
      <c r="W954" s="356"/>
      <c r="X954" s="66"/>
      <c r="AG954" s="211"/>
      <c r="AH954" s="284"/>
      <c r="AI954" s="284"/>
      <c r="AM954" s="217"/>
      <c r="AN954" s="217"/>
      <c r="AO954" s="131"/>
      <c r="AP954" s="131"/>
      <c r="AQ954" s="131"/>
      <c r="AR954" s="131"/>
      <c r="AS954" s="131"/>
      <c r="AT954" s="131"/>
      <c r="AU954" s="131"/>
      <c r="AV954" s="131"/>
      <c r="AW954" s="131"/>
      <c r="AX954" s="131"/>
      <c r="BB954" s="64"/>
      <c r="BC954" s="66"/>
      <c r="BD954" s="66"/>
      <c r="BE954" s="66"/>
    </row>
    <row r="955" spans="5:57" ht="21" customHeight="1" x14ac:dyDescent="0.2">
      <c r="E955" s="217"/>
      <c r="F955" s="217"/>
      <c r="I955" s="95"/>
      <c r="J955" s="95"/>
      <c r="K955" s="95"/>
      <c r="L955" s="27"/>
      <c r="M955" s="5"/>
      <c r="N955" s="94"/>
      <c r="W955" s="356"/>
      <c r="X955" s="66"/>
      <c r="AG955" s="211"/>
      <c r="AH955" s="284"/>
      <c r="AI955" s="284"/>
      <c r="AM955" s="217"/>
      <c r="AN955" s="217"/>
      <c r="AO955" s="131"/>
      <c r="AP955" s="131"/>
      <c r="AQ955" s="131"/>
      <c r="AR955" s="131"/>
      <c r="AS955" s="131"/>
      <c r="AT955" s="131"/>
      <c r="AU955" s="131"/>
      <c r="AV955" s="131"/>
      <c r="AW955" s="131"/>
      <c r="AX955" s="131"/>
      <c r="BB955" s="64"/>
      <c r="BC955" s="66"/>
      <c r="BD955" s="66"/>
      <c r="BE955" s="66"/>
    </row>
    <row r="956" spans="5:57" ht="21" customHeight="1" x14ac:dyDescent="0.2">
      <c r="E956" s="217"/>
      <c r="F956" s="217"/>
      <c r="I956" s="95"/>
      <c r="J956" s="95"/>
      <c r="K956" s="95"/>
      <c r="L956" s="27"/>
      <c r="M956" s="5"/>
      <c r="N956" s="94"/>
      <c r="W956" s="356"/>
      <c r="X956" s="66"/>
      <c r="AG956" s="211"/>
      <c r="AH956" s="284"/>
      <c r="AI956" s="284"/>
      <c r="AM956" s="217"/>
      <c r="AN956" s="217"/>
      <c r="AO956" s="131"/>
      <c r="AP956" s="131"/>
      <c r="AQ956" s="131"/>
      <c r="AR956" s="131"/>
      <c r="AS956" s="131"/>
      <c r="AT956" s="131"/>
      <c r="AU956" s="131"/>
      <c r="AV956" s="131"/>
      <c r="AW956" s="131"/>
      <c r="AX956" s="131"/>
      <c r="BB956" s="64"/>
      <c r="BC956" s="66"/>
      <c r="BD956" s="66"/>
      <c r="BE956" s="66"/>
    </row>
    <row r="957" spans="5:57" ht="21" customHeight="1" x14ac:dyDescent="0.2">
      <c r="E957" s="217"/>
      <c r="F957" s="217"/>
      <c r="I957" s="95"/>
      <c r="J957" s="95"/>
      <c r="K957" s="95"/>
      <c r="L957" s="27"/>
      <c r="M957" s="5"/>
      <c r="N957" s="94"/>
      <c r="W957" s="356"/>
      <c r="X957" s="66"/>
      <c r="AG957" s="211"/>
      <c r="AH957" s="284"/>
      <c r="AI957" s="284"/>
      <c r="AM957" s="217"/>
      <c r="AN957" s="217"/>
      <c r="AO957" s="131"/>
      <c r="AP957" s="131"/>
      <c r="AQ957" s="131"/>
      <c r="AR957" s="131"/>
      <c r="AS957" s="131"/>
      <c r="AT957" s="131"/>
      <c r="AU957" s="131"/>
      <c r="AV957" s="131"/>
      <c r="AW957" s="131"/>
      <c r="AX957" s="131"/>
      <c r="BB957" s="64"/>
      <c r="BC957" s="66"/>
      <c r="BD957" s="66"/>
      <c r="BE957" s="66"/>
    </row>
    <row r="958" spans="5:57" ht="21" customHeight="1" x14ac:dyDescent="0.2">
      <c r="E958" s="217"/>
      <c r="F958" s="217"/>
      <c r="I958" s="95"/>
      <c r="J958" s="95"/>
      <c r="K958" s="95"/>
      <c r="L958" s="27"/>
      <c r="M958" s="5"/>
      <c r="N958" s="94"/>
      <c r="W958" s="356"/>
      <c r="X958" s="66"/>
      <c r="AG958" s="211"/>
      <c r="AH958" s="284"/>
      <c r="AI958" s="284"/>
      <c r="AM958" s="217"/>
      <c r="AN958" s="217"/>
      <c r="AO958" s="131"/>
      <c r="AP958" s="131"/>
      <c r="AQ958" s="131"/>
      <c r="AR958" s="131"/>
      <c r="AS958" s="131"/>
      <c r="AT958" s="131"/>
      <c r="AU958" s="131"/>
      <c r="AV958" s="131"/>
      <c r="AW958" s="131"/>
      <c r="AX958" s="131"/>
      <c r="BB958" s="64"/>
      <c r="BC958" s="66"/>
      <c r="BD958" s="66"/>
      <c r="BE958" s="66"/>
    </row>
    <row r="959" spans="5:57" ht="21" customHeight="1" x14ac:dyDescent="0.2">
      <c r="E959" s="217"/>
      <c r="F959" s="217"/>
      <c r="I959" s="95"/>
      <c r="J959" s="95"/>
      <c r="K959" s="95"/>
      <c r="L959" s="27"/>
      <c r="M959" s="5"/>
      <c r="N959" s="94"/>
      <c r="W959" s="356"/>
      <c r="X959" s="66"/>
      <c r="AG959" s="211"/>
      <c r="AH959" s="284"/>
      <c r="AI959" s="284"/>
      <c r="AM959" s="217"/>
      <c r="AN959" s="217"/>
      <c r="AO959" s="131"/>
      <c r="AP959" s="131"/>
      <c r="AQ959" s="131"/>
      <c r="AR959" s="131"/>
      <c r="AS959" s="131"/>
      <c r="AT959" s="131"/>
      <c r="AU959" s="131"/>
      <c r="AV959" s="131"/>
      <c r="AW959" s="131"/>
      <c r="AX959" s="131"/>
      <c r="BB959" s="64"/>
      <c r="BC959" s="66"/>
      <c r="BD959" s="66"/>
      <c r="BE959" s="66"/>
    </row>
    <row r="960" spans="5:57" ht="21" customHeight="1" x14ac:dyDescent="0.2">
      <c r="E960" s="217"/>
      <c r="F960" s="217"/>
      <c r="I960" s="95"/>
      <c r="J960" s="95"/>
      <c r="K960" s="95"/>
      <c r="L960" s="27"/>
      <c r="M960" s="5"/>
      <c r="N960" s="94"/>
      <c r="W960" s="356"/>
      <c r="X960" s="66"/>
      <c r="AG960" s="211"/>
      <c r="AH960" s="284"/>
      <c r="AI960" s="284"/>
      <c r="AM960" s="217"/>
      <c r="AN960" s="217"/>
      <c r="AO960" s="131"/>
      <c r="AP960" s="131"/>
      <c r="AQ960" s="131"/>
      <c r="AR960" s="131"/>
      <c r="AS960" s="131"/>
      <c r="AT960" s="131"/>
      <c r="AU960" s="131"/>
      <c r="AV960" s="131"/>
      <c r="AW960" s="131"/>
      <c r="AX960" s="131"/>
      <c r="BB960" s="64"/>
      <c r="BC960" s="66"/>
      <c r="BD960" s="66"/>
      <c r="BE960" s="66"/>
    </row>
    <row r="961" spans="5:57" ht="21" customHeight="1" x14ac:dyDescent="0.2">
      <c r="E961" s="217"/>
      <c r="F961" s="217"/>
      <c r="I961" s="95"/>
      <c r="J961" s="95"/>
      <c r="K961" s="95"/>
      <c r="L961" s="27"/>
      <c r="M961" s="5"/>
      <c r="N961" s="94"/>
      <c r="W961" s="356"/>
      <c r="X961" s="66"/>
      <c r="AG961" s="211"/>
      <c r="AH961" s="284"/>
      <c r="AI961" s="284"/>
      <c r="AM961" s="217"/>
      <c r="AN961" s="217"/>
      <c r="AO961" s="131"/>
      <c r="AP961" s="131"/>
      <c r="AQ961" s="131"/>
      <c r="AR961" s="131"/>
      <c r="AS961" s="131"/>
      <c r="AT961" s="131"/>
      <c r="AU961" s="131"/>
      <c r="AV961" s="131"/>
      <c r="AW961" s="131"/>
      <c r="AX961" s="131"/>
      <c r="BB961" s="64"/>
      <c r="BC961" s="66"/>
      <c r="BD961" s="66"/>
      <c r="BE961" s="66"/>
    </row>
    <row r="962" spans="5:57" ht="21" customHeight="1" x14ac:dyDescent="0.2">
      <c r="E962" s="217"/>
      <c r="F962" s="217"/>
      <c r="I962" s="95"/>
      <c r="J962" s="95"/>
      <c r="K962" s="95"/>
      <c r="L962" s="27"/>
      <c r="M962" s="5"/>
      <c r="N962" s="94"/>
      <c r="W962" s="356"/>
      <c r="X962" s="66"/>
      <c r="AM962" s="217"/>
      <c r="AN962" s="217"/>
      <c r="AO962" s="131"/>
      <c r="AP962" s="131"/>
      <c r="AQ962" s="131"/>
      <c r="AR962" s="131"/>
      <c r="AS962" s="131"/>
      <c r="AT962" s="131"/>
      <c r="AU962" s="131"/>
      <c r="AV962" s="131"/>
      <c r="AW962" s="131"/>
      <c r="AX962" s="131"/>
      <c r="AY962" s="131"/>
      <c r="AZ962" s="153"/>
      <c r="BB962" s="64"/>
      <c r="BC962" s="66"/>
      <c r="BD962" s="66"/>
      <c r="BE962" s="66"/>
    </row>
    <row r="963" spans="5:57" ht="21" customHeight="1" x14ac:dyDescent="0.2">
      <c r="E963" s="217"/>
      <c r="F963" s="217"/>
      <c r="I963" s="95"/>
      <c r="J963" s="95"/>
      <c r="K963" s="95"/>
      <c r="L963" s="27"/>
      <c r="M963" s="5"/>
      <c r="N963" s="94"/>
      <c r="W963" s="356"/>
      <c r="X963" s="66"/>
      <c r="AM963" s="217"/>
      <c r="AN963" s="217"/>
      <c r="AO963" s="131"/>
      <c r="AP963" s="131"/>
      <c r="AQ963" s="131"/>
      <c r="AR963" s="131"/>
      <c r="AS963" s="131"/>
      <c r="AT963" s="131"/>
      <c r="AU963" s="131"/>
      <c r="AV963" s="131"/>
      <c r="AW963" s="131"/>
      <c r="AX963" s="131"/>
      <c r="AY963" s="131"/>
      <c r="AZ963" s="131"/>
      <c r="BA963" s="211"/>
      <c r="BB963" s="64"/>
      <c r="BC963" s="66"/>
      <c r="BD963" s="66"/>
      <c r="BE963" s="66"/>
    </row>
    <row r="964" spans="5:57" ht="21" customHeight="1" x14ac:dyDescent="0.2">
      <c r="E964" s="217"/>
      <c r="F964" s="217"/>
      <c r="I964" s="95"/>
      <c r="J964" s="95"/>
      <c r="K964" s="95"/>
      <c r="L964" s="27"/>
      <c r="M964" s="5"/>
      <c r="N964" s="94"/>
      <c r="W964" s="356"/>
      <c r="X964" s="66"/>
      <c r="AM964" s="217"/>
      <c r="AN964" s="217"/>
      <c r="AO964" s="131"/>
      <c r="AP964" s="131"/>
      <c r="AQ964" s="131"/>
      <c r="AR964" s="131"/>
      <c r="AS964" s="131"/>
      <c r="AT964" s="131"/>
      <c r="AU964" s="131"/>
      <c r="AV964" s="131"/>
      <c r="AW964" s="131"/>
      <c r="AX964" s="131"/>
      <c r="AY964" s="131"/>
      <c r="BB964" s="64"/>
      <c r="BC964" s="66"/>
      <c r="BD964" s="66"/>
      <c r="BE964" s="66"/>
    </row>
    <row r="965" spans="5:57" ht="21" customHeight="1" x14ac:dyDescent="0.2">
      <c r="E965" s="217"/>
      <c r="F965" s="217"/>
      <c r="I965" s="95"/>
      <c r="J965" s="95"/>
      <c r="K965" s="95"/>
      <c r="L965" s="27"/>
      <c r="M965" s="5"/>
      <c r="N965" s="94"/>
      <c r="W965" s="356"/>
      <c r="X965" s="66"/>
      <c r="AM965" s="217"/>
      <c r="AN965" s="217"/>
      <c r="AO965" s="131"/>
      <c r="AP965" s="131"/>
      <c r="AQ965" s="131"/>
      <c r="AR965" s="131"/>
      <c r="AS965" s="131"/>
      <c r="AT965" s="131"/>
      <c r="AU965" s="131"/>
      <c r="AV965" s="131"/>
      <c r="AW965" s="131"/>
      <c r="AX965" s="131"/>
      <c r="AY965" s="131"/>
      <c r="AZ965" s="131"/>
      <c r="BB965" s="64"/>
      <c r="BC965" s="66"/>
      <c r="BD965" s="66"/>
      <c r="BE965" s="66"/>
    </row>
    <row r="966" spans="5:57" ht="21" customHeight="1" x14ac:dyDescent="0.2">
      <c r="E966" s="217"/>
      <c r="F966" s="217"/>
      <c r="I966" s="95"/>
      <c r="J966" s="95"/>
      <c r="K966" s="95"/>
      <c r="L966" s="27"/>
      <c r="M966" s="5"/>
      <c r="N966" s="94"/>
      <c r="W966" s="356"/>
      <c r="X966" s="66"/>
      <c r="AM966" s="217"/>
      <c r="AN966" s="217"/>
      <c r="AO966" s="131"/>
      <c r="AP966" s="131"/>
      <c r="AQ966" s="131"/>
      <c r="AR966" s="131"/>
      <c r="AS966" s="131"/>
      <c r="AT966" s="131"/>
      <c r="AU966" s="131"/>
      <c r="AV966" s="131"/>
      <c r="AW966" s="131"/>
      <c r="AX966" s="131"/>
      <c r="AY966" s="131"/>
      <c r="AZ966" s="131"/>
      <c r="BB966" s="64"/>
      <c r="BC966" s="66"/>
      <c r="BD966" s="66"/>
      <c r="BE966" s="66"/>
    </row>
    <row r="967" spans="5:57" ht="21" customHeight="1" x14ac:dyDescent="0.2">
      <c r="E967" s="217"/>
      <c r="F967" s="217"/>
      <c r="I967" s="95"/>
      <c r="J967" s="95"/>
      <c r="K967" s="95"/>
      <c r="L967" s="27"/>
      <c r="M967" s="5"/>
      <c r="N967" s="94"/>
      <c r="W967" s="356"/>
      <c r="X967" s="66"/>
      <c r="AM967" s="217"/>
      <c r="AN967" s="217"/>
      <c r="AO967" s="131"/>
      <c r="AP967" s="131"/>
      <c r="AQ967" s="131"/>
      <c r="AR967" s="131"/>
      <c r="AS967" s="131"/>
      <c r="AT967" s="131"/>
      <c r="AU967" s="131"/>
      <c r="AV967" s="131"/>
      <c r="AW967" s="131"/>
      <c r="AX967" s="131"/>
      <c r="AY967" s="131"/>
      <c r="AZ967" s="131"/>
      <c r="BB967" s="64"/>
      <c r="BC967" s="66"/>
      <c r="BD967" s="66"/>
      <c r="BE967" s="66"/>
    </row>
  </sheetData>
  <mergeCells count="312">
    <mergeCell ref="AO925:AZ925"/>
    <mergeCell ref="BL933:BM933"/>
    <mergeCell ref="AF934:AG934"/>
    <mergeCell ref="B923:D923"/>
    <mergeCell ref="AJ923:AL923"/>
    <mergeCell ref="B924:D924"/>
    <mergeCell ref="AJ924:AL924"/>
    <mergeCell ref="B925:D925"/>
    <mergeCell ref="G925:AG925"/>
    <mergeCell ref="AJ925:AL925"/>
    <mergeCell ref="AO906:AZ906"/>
    <mergeCell ref="B912:E912"/>
    <mergeCell ref="F912:F913"/>
    <mergeCell ref="AJ912:AM912"/>
    <mergeCell ref="AN912:AN913"/>
    <mergeCell ref="B916:F916"/>
    <mergeCell ref="AJ916:AN916"/>
    <mergeCell ref="B904:D904"/>
    <mergeCell ref="AJ904:AL904"/>
    <mergeCell ref="B905:D905"/>
    <mergeCell ref="AJ905:AL905"/>
    <mergeCell ref="B906:D906"/>
    <mergeCell ref="G906:AG906"/>
    <mergeCell ref="AJ906:AL906"/>
    <mergeCell ref="B893:E893"/>
    <mergeCell ref="F893:F894"/>
    <mergeCell ref="AJ893:AM893"/>
    <mergeCell ref="AN893:AN894"/>
    <mergeCell ref="B898:F898"/>
    <mergeCell ref="AJ898:AN898"/>
    <mergeCell ref="B888:D888"/>
    <mergeCell ref="AJ888:AL888"/>
    <mergeCell ref="B889:D889"/>
    <mergeCell ref="G889:AG889"/>
    <mergeCell ref="AJ889:AL889"/>
    <mergeCell ref="AO889:AZ889"/>
    <mergeCell ref="AO865:AZ865"/>
    <mergeCell ref="B868:E868"/>
    <mergeCell ref="F868:F869"/>
    <mergeCell ref="AJ868:AM868"/>
    <mergeCell ref="AN868:AN869"/>
    <mergeCell ref="B887:D887"/>
    <mergeCell ref="AJ887:AL887"/>
    <mergeCell ref="B863:D863"/>
    <mergeCell ref="AJ863:AL863"/>
    <mergeCell ref="B864:D864"/>
    <mergeCell ref="AJ864:AL864"/>
    <mergeCell ref="B865:D865"/>
    <mergeCell ref="G865:AG865"/>
    <mergeCell ref="AJ865:AL865"/>
    <mergeCell ref="B817:E817"/>
    <mergeCell ref="F817:F818"/>
    <mergeCell ref="AJ817:AM817"/>
    <mergeCell ref="AN817:AN818"/>
    <mergeCell ref="B861:F861"/>
    <mergeCell ref="AJ861:AN861"/>
    <mergeCell ref="B812:D812"/>
    <mergeCell ref="AJ812:AL812"/>
    <mergeCell ref="B813:D813"/>
    <mergeCell ref="G813:AG813"/>
    <mergeCell ref="AJ813:AL813"/>
    <mergeCell ref="AO813:AZ813"/>
    <mergeCell ref="AO663:AZ663"/>
    <mergeCell ref="B667:E667"/>
    <mergeCell ref="F667:F668"/>
    <mergeCell ref="AJ667:AM667"/>
    <mergeCell ref="AN667:AN668"/>
    <mergeCell ref="B810:D810"/>
    <mergeCell ref="AJ810:AL810"/>
    <mergeCell ref="B661:D661"/>
    <mergeCell ref="AJ661:AL661"/>
    <mergeCell ref="B662:D662"/>
    <mergeCell ref="AJ662:AL662"/>
    <mergeCell ref="B663:D663"/>
    <mergeCell ref="G663:AG663"/>
    <mergeCell ref="AJ663:AL663"/>
    <mergeCell ref="AO633:AZ633"/>
    <mergeCell ref="B636:E636"/>
    <mergeCell ref="F636:F637"/>
    <mergeCell ref="AJ636:AM636"/>
    <mergeCell ref="AN636:AN637"/>
    <mergeCell ref="B639:F639"/>
    <mergeCell ref="AJ639:AN639"/>
    <mergeCell ref="B631:D631"/>
    <mergeCell ref="AJ631:AL631"/>
    <mergeCell ref="B632:D632"/>
    <mergeCell ref="AJ632:AL632"/>
    <mergeCell ref="B633:D633"/>
    <mergeCell ref="G633:AG633"/>
    <mergeCell ref="AJ633:AL633"/>
    <mergeCell ref="AO606:AZ606"/>
    <mergeCell ref="B609:E609"/>
    <mergeCell ref="F609:F610"/>
    <mergeCell ref="AJ609:AM609"/>
    <mergeCell ref="AN609:AN610"/>
    <mergeCell ref="B614:F614"/>
    <mergeCell ref="AJ614:AN614"/>
    <mergeCell ref="B604:D604"/>
    <mergeCell ref="AJ604:AL604"/>
    <mergeCell ref="B605:D605"/>
    <mergeCell ref="AJ605:AL605"/>
    <mergeCell ref="B606:D606"/>
    <mergeCell ref="G606:AG606"/>
    <mergeCell ref="AJ606:AL606"/>
    <mergeCell ref="AO424:AZ424"/>
    <mergeCell ref="B427:E427"/>
    <mergeCell ref="F427:F428"/>
    <mergeCell ref="AJ427:AM427"/>
    <mergeCell ref="AN427:AN428"/>
    <mergeCell ref="B433:F433"/>
    <mergeCell ref="AJ433:AN433"/>
    <mergeCell ref="B422:D422"/>
    <mergeCell ref="AJ422:AL422"/>
    <mergeCell ref="B423:D423"/>
    <mergeCell ref="AJ423:AL423"/>
    <mergeCell ref="B424:D424"/>
    <mergeCell ref="G424:AG424"/>
    <mergeCell ref="AJ424:AL424"/>
    <mergeCell ref="AO387:AZ387"/>
    <mergeCell ref="B390:E390"/>
    <mergeCell ref="F390:F391"/>
    <mergeCell ref="AJ390:AM390"/>
    <mergeCell ref="AN390:AN391"/>
    <mergeCell ref="B396:F396"/>
    <mergeCell ref="AJ396:AN396"/>
    <mergeCell ref="B385:D385"/>
    <mergeCell ref="AJ385:AL385"/>
    <mergeCell ref="B386:D386"/>
    <mergeCell ref="AJ386:AL386"/>
    <mergeCell ref="B387:D387"/>
    <mergeCell ref="G387:AG387"/>
    <mergeCell ref="AJ387:AL387"/>
    <mergeCell ref="AO359:AZ359"/>
    <mergeCell ref="B363:E363"/>
    <mergeCell ref="F363:F364"/>
    <mergeCell ref="AJ363:AM363"/>
    <mergeCell ref="AN363:AN364"/>
    <mergeCell ref="B371:F371"/>
    <mergeCell ref="AJ371:AN371"/>
    <mergeCell ref="B357:D357"/>
    <mergeCell ref="AJ357:AL357"/>
    <mergeCell ref="B358:D358"/>
    <mergeCell ref="AJ358:AL358"/>
    <mergeCell ref="B359:D359"/>
    <mergeCell ref="G359:AG359"/>
    <mergeCell ref="AJ359:AL359"/>
    <mergeCell ref="AO327:AZ327"/>
    <mergeCell ref="B330:E330"/>
    <mergeCell ref="F330:F331"/>
    <mergeCell ref="AJ330:AM330"/>
    <mergeCell ref="AN330:AN331"/>
    <mergeCell ref="B338:F338"/>
    <mergeCell ref="AJ338:AN338"/>
    <mergeCell ref="B325:D325"/>
    <mergeCell ref="AJ325:AL325"/>
    <mergeCell ref="B326:D326"/>
    <mergeCell ref="AJ326:AL326"/>
    <mergeCell ref="B327:D327"/>
    <mergeCell ref="G327:AG327"/>
    <mergeCell ref="AJ327:AL327"/>
    <mergeCell ref="AO316:AZ316"/>
    <mergeCell ref="B319:E319"/>
    <mergeCell ref="F319:F320"/>
    <mergeCell ref="AJ319:AM319"/>
    <mergeCell ref="AN319:AN320"/>
    <mergeCell ref="B322:F322"/>
    <mergeCell ref="AJ322:AN322"/>
    <mergeCell ref="B314:D314"/>
    <mergeCell ref="AJ314:AL314"/>
    <mergeCell ref="B315:D315"/>
    <mergeCell ref="AJ315:AL315"/>
    <mergeCell ref="B316:D316"/>
    <mergeCell ref="G316:AG316"/>
    <mergeCell ref="AJ316:AL316"/>
    <mergeCell ref="AO295:AZ295"/>
    <mergeCell ref="B298:E298"/>
    <mergeCell ref="F298:F299"/>
    <mergeCell ref="AJ298:AM298"/>
    <mergeCell ref="AN298:AN299"/>
    <mergeCell ref="B304:F304"/>
    <mergeCell ref="AJ304:AN304"/>
    <mergeCell ref="B293:D293"/>
    <mergeCell ref="AJ293:AL293"/>
    <mergeCell ref="B294:D294"/>
    <mergeCell ref="AJ294:AL294"/>
    <mergeCell ref="B295:D295"/>
    <mergeCell ref="G295:AG295"/>
    <mergeCell ref="AJ295:AL295"/>
    <mergeCell ref="AO279:AZ279"/>
    <mergeCell ref="B283:E283"/>
    <mergeCell ref="F283:F284"/>
    <mergeCell ref="AJ283:AM283"/>
    <mergeCell ref="AN283:AN284"/>
    <mergeCell ref="B286:F286"/>
    <mergeCell ref="AJ286:AN286"/>
    <mergeCell ref="B277:D277"/>
    <mergeCell ref="AJ277:AL277"/>
    <mergeCell ref="B278:D278"/>
    <mergeCell ref="AJ278:AL278"/>
    <mergeCell ref="B279:D279"/>
    <mergeCell ref="G279:AG279"/>
    <mergeCell ref="AJ279:AL279"/>
    <mergeCell ref="AO219:AZ219"/>
    <mergeCell ref="B222:E222"/>
    <mergeCell ref="F222:F223"/>
    <mergeCell ref="AJ222:AM222"/>
    <mergeCell ref="AN222:AN223"/>
    <mergeCell ref="B226:F226"/>
    <mergeCell ref="AJ226:AN226"/>
    <mergeCell ref="B217:D217"/>
    <mergeCell ref="AJ217:AL217"/>
    <mergeCell ref="B218:D218"/>
    <mergeCell ref="AJ218:AL218"/>
    <mergeCell ref="B219:D219"/>
    <mergeCell ref="G219:AG219"/>
    <mergeCell ref="AJ219:AL219"/>
    <mergeCell ref="B212:E212"/>
    <mergeCell ref="F212:F213"/>
    <mergeCell ref="AJ212:AM212"/>
    <mergeCell ref="AN212:AN213"/>
    <mergeCell ref="B215:F215"/>
    <mergeCell ref="AJ215:AN215"/>
    <mergeCell ref="B208:D208"/>
    <mergeCell ref="AJ208:AL208"/>
    <mergeCell ref="B209:D209"/>
    <mergeCell ref="G209:AG209"/>
    <mergeCell ref="AJ209:AL209"/>
    <mergeCell ref="AO209:AZ209"/>
    <mergeCell ref="B197:E197"/>
    <mergeCell ref="F197:F198"/>
    <mergeCell ref="AJ197:AM197"/>
    <mergeCell ref="AN197:AN198"/>
    <mergeCell ref="B207:D207"/>
    <mergeCell ref="AJ207:AL207"/>
    <mergeCell ref="B157:F157"/>
    <mergeCell ref="AJ157:AN157"/>
    <mergeCell ref="B194:D194"/>
    <mergeCell ref="G194:AG194"/>
    <mergeCell ref="AJ194:AL194"/>
    <mergeCell ref="AO194:AZ194"/>
    <mergeCell ref="B135:D135"/>
    <mergeCell ref="O135:AG135"/>
    <mergeCell ref="AJ135:AL135"/>
    <mergeCell ref="AO135:AZ135"/>
    <mergeCell ref="B138:E138"/>
    <mergeCell ref="F138:F139"/>
    <mergeCell ref="AJ138:AM138"/>
    <mergeCell ref="AN138:AN139"/>
    <mergeCell ref="AN87:AN88"/>
    <mergeCell ref="B106:F106"/>
    <mergeCell ref="AJ106:AN106"/>
    <mergeCell ref="B133:D133"/>
    <mergeCell ref="AJ133:AL133"/>
    <mergeCell ref="B134:D134"/>
    <mergeCell ref="AJ134:AL134"/>
    <mergeCell ref="B83:D83"/>
    <mergeCell ref="AJ83:AL83"/>
    <mergeCell ref="B84:D84"/>
    <mergeCell ref="G84:AG84"/>
    <mergeCell ref="AJ84:AL84"/>
    <mergeCell ref="B87:E87"/>
    <mergeCell ref="F87:F88"/>
    <mergeCell ref="AJ87:AM87"/>
    <mergeCell ref="AO75:AZ75"/>
    <mergeCell ref="B78:E78"/>
    <mergeCell ref="F78:F79"/>
    <mergeCell ref="AJ78:AM78"/>
    <mergeCell ref="AN78:AN79"/>
    <mergeCell ref="B82:D82"/>
    <mergeCell ref="AJ82:AL82"/>
    <mergeCell ref="B73:D73"/>
    <mergeCell ref="AJ73:AL73"/>
    <mergeCell ref="B74:D74"/>
    <mergeCell ref="AJ74:AL74"/>
    <mergeCell ref="B75:D75"/>
    <mergeCell ref="G75:AG75"/>
    <mergeCell ref="AJ75:AL75"/>
    <mergeCell ref="AO51:AZ51"/>
    <mergeCell ref="B54:E54"/>
    <mergeCell ref="F54:F55"/>
    <mergeCell ref="AJ54:AM54"/>
    <mergeCell ref="AN54:AN55"/>
    <mergeCell ref="B66:F66"/>
    <mergeCell ref="AJ66:AN66"/>
    <mergeCell ref="B49:D49"/>
    <mergeCell ref="AJ49:AL49"/>
    <mergeCell ref="B50:D50"/>
    <mergeCell ref="AJ50:AL50"/>
    <mergeCell ref="B51:D51"/>
    <mergeCell ref="G51:AG51"/>
    <mergeCell ref="AJ51:AL51"/>
    <mergeCell ref="AO37:AZ37"/>
    <mergeCell ref="B40:E40"/>
    <mergeCell ref="F40:F41"/>
    <mergeCell ref="AJ40:AM40"/>
    <mergeCell ref="AN40:AN41"/>
    <mergeCell ref="B44:F44"/>
    <mergeCell ref="AJ44:AN44"/>
    <mergeCell ref="B35:D35"/>
    <mergeCell ref="AJ35:AL35"/>
    <mergeCell ref="B36:D36"/>
    <mergeCell ref="AJ36:AL36"/>
    <mergeCell ref="B37:D37"/>
    <mergeCell ref="G37:AG37"/>
    <mergeCell ref="AJ37:AL37"/>
    <mergeCell ref="AJ2:AW2"/>
    <mergeCell ref="B4:E4"/>
    <mergeCell ref="F4:F5"/>
    <mergeCell ref="AJ4:AM4"/>
    <mergeCell ref="AN4:AN5"/>
    <mergeCell ref="B17:F17"/>
    <mergeCell ref="AJ17:AN17"/>
  </mergeCells>
  <pageMargins left="0.70866141732283472" right="0.70866141732283472" top="0.74803149606299213" bottom="0.74803149606299213" header="0.31496062992125984" footer="0.31496062992125984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2daModPlantilla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Nomina2</dc:creator>
  <cp:lastModifiedBy>Juan Pablo Rivera Pérez</cp:lastModifiedBy>
  <cp:lastPrinted>2024-09-30T17:46:43Z</cp:lastPrinted>
  <dcterms:created xsi:type="dcterms:W3CDTF">2024-09-21T01:24:52Z</dcterms:created>
  <dcterms:modified xsi:type="dcterms:W3CDTF">2024-09-30T17:47:09Z</dcterms:modified>
</cp:coreProperties>
</file>